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pen oaa\"/>
    </mc:Choice>
  </mc:AlternateContent>
  <bookViews>
    <workbookView xWindow="0" yWindow="0" windowWidth="19200" windowHeight="12180"/>
  </bookViews>
  <sheets>
    <sheet name="m q" sheetId="1" r:id="rId1"/>
    <sheet name="m md" sheetId="2" r:id="rId2"/>
    <sheet name="w q" sheetId="3" r:id="rId3"/>
    <sheet name="w md" sheetId="4" r:id="rId4"/>
    <sheet name="dm new" sheetId="11" r:id="rId5"/>
    <sheet name="dw" sheetId="6" r:id="rId6"/>
    <sheet name="mix new"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'dm new'!$A$4:$S$35</definedName>
    <definedName name="_xlnm._FilterDatabase" localSheetId="5" hidden="1">dw!$A$4:$S$35</definedName>
    <definedName name="_xlnm._FilterDatabase" localSheetId="1" hidden="1">'m md'!$A$4:$S$20</definedName>
    <definedName name="_xlnm._FilterDatabase" localSheetId="0" hidden="1">'m q'!$A$4:$T$78</definedName>
    <definedName name="_xlnm._FilterDatabase" localSheetId="6" hidden="1">'mix new'!$A$4:$S$35</definedName>
    <definedName name="_xlnm._FilterDatabase" localSheetId="3" hidden="1">'w md'!$A$4:$S$20</definedName>
    <definedName name="_xlnm._FilterDatabase" localSheetId="2" hidden="1">'w q'!$A$4:$S$20</definedName>
    <definedName name="_xlnm.Print_Area" localSheetId="4">'dm new'!$A$1:$T$68</definedName>
    <definedName name="_xlnm.Print_Area" localSheetId="5">dw!$A$1:$R$43</definedName>
    <definedName name="_xlnm.Print_Area" localSheetId="1">'m md'!$A$1:$S$28</definedName>
    <definedName name="_xlnm.Print_Area" localSheetId="0">'m q'!$A$1:$T$81</definedName>
    <definedName name="_xlnm.Print_Area" localSheetId="6">'mix new'!$A$1:$R$43</definedName>
    <definedName name="_xlnm.Print_Area" localSheetId="3">'w md'!$A$1:$S$28</definedName>
    <definedName name="_xlnm.Print_Area" localSheetId="2">'w q'!$A$1:$S$28</definedName>
  </definedNames>
  <calcPr calcId="152511"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2" l="1"/>
  <c r="H65" i="12"/>
  <c r="H64" i="12"/>
  <c r="H63" i="12"/>
  <c r="H62" i="12"/>
  <c r="H61" i="12"/>
  <c r="H60" i="12"/>
  <c r="H59" i="12"/>
  <c r="H43" i="12"/>
  <c r="H42" i="12"/>
  <c r="H41" i="12"/>
  <c r="P40" i="12"/>
  <c r="H40" i="12"/>
  <c r="F35" i="12"/>
  <c r="G36" i="12"/>
  <c r="J36" i="12"/>
  <c r="H36" i="12"/>
  <c r="I36" i="12"/>
  <c r="G35" i="12"/>
  <c r="J35" i="12"/>
  <c r="H35" i="12"/>
  <c r="I35" i="12"/>
  <c r="B2" i="12"/>
  <c r="E7" i="12"/>
  <c r="D7" i="12"/>
  <c r="D9" i="12"/>
  <c r="E11" i="12"/>
  <c r="D11" i="12"/>
  <c r="D13" i="12"/>
  <c r="E15" i="12"/>
  <c r="D15" i="12"/>
  <c r="C17" i="12"/>
  <c r="E17" i="12"/>
  <c r="D17" i="12"/>
  <c r="D19" i="12"/>
  <c r="D21" i="12"/>
  <c r="C23" i="12"/>
  <c r="E23" i="12"/>
  <c r="D23" i="12"/>
  <c r="D25" i="12"/>
  <c r="E27" i="12"/>
  <c r="D27" i="12"/>
  <c r="D29" i="12"/>
  <c r="E31" i="12"/>
  <c r="D31" i="12"/>
  <c r="E33" i="12"/>
  <c r="D33" i="12"/>
  <c r="D35" i="12"/>
  <c r="L34" i="12"/>
  <c r="F33" i="12"/>
  <c r="G34" i="12"/>
  <c r="J34" i="12"/>
  <c r="I34" i="12"/>
  <c r="H34" i="12"/>
  <c r="L33" i="12"/>
  <c r="G33" i="12"/>
  <c r="J33" i="12"/>
  <c r="I33" i="12"/>
  <c r="H33" i="12"/>
  <c r="B33" i="12"/>
  <c r="N32" i="12"/>
  <c r="G32" i="12"/>
  <c r="J32" i="12"/>
  <c r="H32" i="12"/>
  <c r="I32" i="12"/>
  <c r="N31" i="12"/>
  <c r="G31" i="12"/>
  <c r="J31" i="12"/>
  <c r="H31" i="12"/>
  <c r="I31" i="12"/>
  <c r="B31" i="12"/>
  <c r="L30" i="12"/>
  <c r="B29" i="12"/>
  <c r="F29" i="12"/>
  <c r="G30" i="12"/>
  <c r="J30" i="12"/>
  <c r="H30" i="12"/>
  <c r="I30" i="12"/>
  <c r="L29" i="12"/>
  <c r="G29" i="12"/>
  <c r="J29" i="12"/>
  <c r="H29" i="12"/>
  <c r="I29" i="12"/>
  <c r="P28" i="12"/>
  <c r="G28" i="12"/>
  <c r="J28" i="12"/>
  <c r="H28" i="12"/>
  <c r="I28" i="12"/>
  <c r="P27" i="12"/>
  <c r="G27" i="12"/>
  <c r="J27" i="12"/>
  <c r="H27" i="12"/>
  <c r="I27" i="12"/>
  <c r="B27" i="12"/>
  <c r="L26" i="12"/>
  <c r="B25" i="12"/>
  <c r="F25" i="12"/>
  <c r="G26" i="12"/>
  <c r="J26" i="12"/>
  <c r="H26" i="12"/>
  <c r="I26" i="12"/>
  <c r="L25" i="12"/>
  <c r="G25" i="12"/>
  <c r="J25" i="12"/>
  <c r="H25" i="12"/>
  <c r="I25" i="12"/>
  <c r="N24" i="12"/>
  <c r="F23" i="12"/>
  <c r="G24" i="12"/>
  <c r="J24" i="12"/>
  <c r="I24" i="12"/>
  <c r="H24" i="12"/>
  <c r="N23" i="12"/>
  <c r="G23" i="12"/>
  <c r="J23" i="12"/>
  <c r="I23" i="12"/>
  <c r="H23" i="12"/>
  <c r="B23" i="12"/>
  <c r="L22" i="12"/>
  <c r="B21" i="12"/>
  <c r="F21" i="12"/>
  <c r="G22" i="12"/>
  <c r="J22" i="12"/>
  <c r="H22" i="12"/>
  <c r="I22" i="12"/>
  <c r="L21" i="12"/>
  <c r="G21" i="12"/>
  <c r="J21" i="12"/>
  <c r="H21" i="12"/>
  <c r="I21" i="12"/>
  <c r="P20" i="12"/>
  <c r="B19" i="12"/>
  <c r="F19" i="12"/>
  <c r="G20" i="12"/>
  <c r="J20" i="12"/>
  <c r="H20" i="12"/>
  <c r="I20" i="12"/>
  <c r="P19" i="12"/>
  <c r="G19" i="12"/>
  <c r="J19" i="12"/>
  <c r="H19" i="12"/>
  <c r="I19" i="12"/>
  <c r="L18" i="12"/>
  <c r="F17" i="12"/>
  <c r="G18" i="12"/>
  <c r="J18" i="12"/>
  <c r="I18" i="12"/>
  <c r="H18" i="12"/>
  <c r="L17" i="12"/>
  <c r="G17" i="12"/>
  <c r="J17" i="12"/>
  <c r="I17" i="12"/>
  <c r="H17" i="12"/>
  <c r="B17" i="12"/>
  <c r="N16" i="12"/>
  <c r="F15" i="12"/>
  <c r="G16" i="12"/>
  <c r="J16" i="12"/>
  <c r="I16" i="12"/>
  <c r="H16" i="12"/>
  <c r="N15" i="12"/>
  <c r="G15" i="12"/>
  <c r="J15" i="12"/>
  <c r="I15" i="12"/>
  <c r="H15" i="12"/>
  <c r="B15" i="12"/>
  <c r="L14" i="12"/>
  <c r="B13" i="12"/>
  <c r="F13" i="12"/>
  <c r="G14" i="12"/>
  <c r="J14" i="12"/>
  <c r="H14" i="12"/>
  <c r="I14" i="12"/>
  <c r="L13" i="12"/>
  <c r="G13" i="12"/>
  <c r="J13" i="12"/>
  <c r="H13" i="12"/>
  <c r="I13" i="12"/>
  <c r="P12" i="12"/>
  <c r="B11" i="12"/>
  <c r="F11" i="12"/>
  <c r="G12" i="12"/>
  <c r="J12" i="12"/>
  <c r="H12" i="12"/>
  <c r="I12" i="12"/>
  <c r="P11" i="12"/>
  <c r="G11" i="12"/>
  <c r="J11" i="12"/>
  <c r="H11" i="12"/>
  <c r="I11" i="12"/>
  <c r="L10" i="12"/>
  <c r="B9" i="12"/>
  <c r="F9" i="12"/>
  <c r="G10" i="12"/>
  <c r="J10" i="12"/>
  <c r="H10" i="12"/>
  <c r="I10" i="12"/>
  <c r="L9" i="12"/>
  <c r="G9" i="12"/>
  <c r="J9" i="12"/>
  <c r="H9" i="12"/>
  <c r="I9" i="12"/>
  <c r="N8" i="12"/>
  <c r="F7" i="12"/>
  <c r="G8" i="12"/>
  <c r="J8" i="12"/>
  <c r="I8" i="12"/>
  <c r="H8" i="12"/>
  <c r="N7" i="12"/>
  <c r="G7" i="12"/>
  <c r="J7" i="12"/>
  <c r="I7" i="12"/>
  <c r="H7" i="12"/>
  <c r="B7" i="12"/>
  <c r="L6" i="12"/>
  <c r="F5" i="12"/>
  <c r="G6" i="12"/>
  <c r="J6" i="12"/>
  <c r="H6" i="12"/>
  <c r="I6" i="12"/>
  <c r="L5" i="12"/>
  <c r="G5" i="12"/>
  <c r="J5" i="12"/>
  <c r="H5" i="12"/>
  <c r="I5" i="12"/>
  <c r="P1" i="12"/>
  <c r="A1" i="12"/>
  <c r="H105" i="11"/>
  <c r="H104" i="11"/>
  <c r="H103" i="11"/>
  <c r="H102" i="11"/>
  <c r="H101" i="11"/>
  <c r="H100" i="11"/>
  <c r="H99" i="11"/>
  <c r="H98" i="11"/>
  <c r="H97" i="11"/>
  <c r="H96" i="11"/>
  <c r="H95" i="11"/>
  <c r="H94" i="11"/>
  <c r="H93" i="11"/>
  <c r="H92" i="11"/>
  <c r="H91" i="11"/>
  <c r="H90" i="11"/>
  <c r="F67" i="11"/>
  <c r="G68" i="11"/>
  <c r="J68" i="11"/>
  <c r="H68" i="11"/>
  <c r="I68" i="11"/>
  <c r="G67" i="11"/>
  <c r="J67" i="11"/>
  <c r="H67" i="11"/>
  <c r="I67" i="11"/>
  <c r="B2" i="11"/>
  <c r="E7" i="11"/>
  <c r="D7" i="11"/>
  <c r="D9" i="11"/>
  <c r="E11" i="11"/>
  <c r="D11" i="11"/>
  <c r="D13" i="11"/>
  <c r="E15" i="11"/>
  <c r="D15" i="11"/>
  <c r="C17" i="11"/>
  <c r="E17" i="11"/>
  <c r="D17" i="11"/>
  <c r="D19" i="11"/>
  <c r="D21" i="11"/>
  <c r="C23" i="11"/>
  <c r="E23" i="11"/>
  <c r="D23" i="11"/>
  <c r="D25" i="11"/>
  <c r="E27" i="11"/>
  <c r="D27" i="11"/>
  <c r="D29" i="11"/>
  <c r="E31" i="11"/>
  <c r="D31" i="11"/>
  <c r="C33" i="11"/>
  <c r="E33" i="11"/>
  <c r="D33" i="11"/>
  <c r="D35" i="11"/>
  <c r="D37" i="11"/>
  <c r="C39" i="11"/>
  <c r="E39" i="11"/>
  <c r="D39" i="11"/>
  <c r="D41" i="11"/>
  <c r="E43" i="11"/>
  <c r="D43" i="11"/>
  <c r="D45" i="11"/>
  <c r="E47" i="11"/>
  <c r="D47" i="11"/>
  <c r="C49" i="11"/>
  <c r="E49" i="11"/>
  <c r="D49" i="11"/>
  <c r="D51" i="11"/>
  <c r="D53" i="11"/>
  <c r="C55" i="11"/>
  <c r="E55" i="11"/>
  <c r="D55" i="11"/>
  <c r="D57" i="11"/>
  <c r="E59" i="11"/>
  <c r="D59" i="11"/>
  <c r="D61" i="11"/>
  <c r="E63" i="11"/>
  <c r="D63" i="11"/>
  <c r="E65" i="11"/>
  <c r="D65" i="11"/>
  <c r="D67" i="11"/>
  <c r="T66" i="11"/>
  <c r="R66" i="11"/>
  <c r="L66" i="11"/>
  <c r="F65" i="11"/>
  <c r="G66" i="11"/>
  <c r="J66" i="11"/>
  <c r="I66" i="11"/>
  <c r="H66" i="11"/>
  <c r="T65" i="11"/>
  <c r="L65" i="11"/>
  <c r="G65" i="11"/>
  <c r="J65" i="11"/>
  <c r="I65" i="11"/>
  <c r="H65" i="11"/>
  <c r="B65" i="11"/>
  <c r="T64" i="11"/>
  <c r="N64" i="11"/>
  <c r="B63" i="11"/>
  <c r="F63" i="11"/>
  <c r="G64" i="11"/>
  <c r="J64" i="11"/>
  <c r="H64" i="11"/>
  <c r="I64" i="11"/>
  <c r="T63" i="11"/>
  <c r="N63" i="11"/>
  <c r="G63" i="11"/>
  <c r="J63" i="11"/>
  <c r="H63" i="11"/>
  <c r="I63" i="11"/>
  <c r="T62" i="11"/>
  <c r="L62" i="11"/>
  <c r="B61" i="11"/>
  <c r="F61" i="11"/>
  <c r="G62" i="11"/>
  <c r="J62" i="11"/>
  <c r="H62" i="11"/>
  <c r="I62" i="11"/>
  <c r="T61" i="11"/>
  <c r="L61" i="11"/>
  <c r="G61" i="11"/>
  <c r="J61" i="11"/>
  <c r="H61" i="11"/>
  <c r="I61" i="11"/>
  <c r="T60" i="11"/>
  <c r="P60" i="11"/>
  <c r="F59" i="11"/>
  <c r="G60" i="11"/>
  <c r="J60" i="11"/>
  <c r="I60" i="11"/>
  <c r="H60" i="11"/>
  <c r="T59" i="11"/>
  <c r="P59" i="11"/>
  <c r="G59" i="11"/>
  <c r="J59" i="11"/>
  <c r="I59" i="11"/>
  <c r="H59" i="11"/>
  <c r="B59" i="11"/>
  <c r="B57" i="11"/>
  <c r="F57" i="11"/>
  <c r="G58" i="11"/>
  <c r="H58" i="11"/>
  <c r="I58" i="11"/>
  <c r="L58" i="11"/>
  <c r="J58" i="11"/>
  <c r="G57" i="11"/>
  <c r="H57" i="11"/>
  <c r="I57" i="11"/>
  <c r="L57" i="11"/>
  <c r="J57" i="11"/>
  <c r="N56" i="11"/>
  <c r="F55" i="11"/>
  <c r="G56" i="11"/>
  <c r="J56" i="11"/>
  <c r="I56" i="11"/>
  <c r="H56" i="11"/>
  <c r="N55" i="11"/>
  <c r="G55" i="11"/>
  <c r="J55" i="11"/>
  <c r="I55" i="11"/>
  <c r="H55" i="11"/>
  <c r="B55" i="11"/>
  <c r="B53" i="11"/>
  <c r="F53" i="11"/>
  <c r="G54" i="11"/>
  <c r="H54" i="11"/>
  <c r="I54" i="11"/>
  <c r="L54" i="11"/>
  <c r="J54" i="11"/>
  <c r="G53" i="11"/>
  <c r="H53" i="11"/>
  <c r="I53" i="11"/>
  <c r="L53" i="11"/>
  <c r="J53" i="11"/>
  <c r="R52" i="11"/>
  <c r="B51" i="11"/>
  <c r="F51" i="11"/>
  <c r="G52" i="11"/>
  <c r="J52" i="11"/>
  <c r="H52" i="11"/>
  <c r="I52" i="11"/>
  <c r="R51" i="11"/>
  <c r="G51" i="11"/>
  <c r="J51" i="11"/>
  <c r="H51" i="11"/>
  <c r="I51" i="11"/>
  <c r="F49" i="11"/>
  <c r="G50" i="11"/>
  <c r="I50" i="11"/>
  <c r="L50" i="11"/>
  <c r="J50" i="11"/>
  <c r="H50" i="11"/>
  <c r="G49" i="11"/>
  <c r="I49" i="11"/>
  <c r="L49" i="11"/>
  <c r="J49" i="11"/>
  <c r="H49" i="11"/>
  <c r="B49" i="11"/>
  <c r="N48" i="11"/>
  <c r="F47" i="11"/>
  <c r="G48" i="11"/>
  <c r="J48" i="11"/>
  <c r="I48" i="11"/>
  <c r="H48" i="11"/>
  <c r="N47" i="11"/>
  <c r="G47" i="11"/>
  <c r="J47" i="11"/>
  <c r="I47" i="11"/>
  <c r="H47" i="11"/>
  <c r="B47" i="11"/>
  <c r="B45" i="11"/>
  <c r="F45" i="11"/>
  <c r="G46" i="11"/>
  <c r="H46" i="11"/>
  <c r="I46" i="11"/>
  <c r="L46" i="11"/>
  <c r="J46" i="11"/>
  <c r="G45" i="11"/>
  <c r="H45" i="11"/>
  <c r="I45" i="11"/>
  <c r="L45" i="11"/>
  <c r="J45" i="11"/>
  <c r="P44" i="11"/>
  <c r="F43" i="11"/>
  <c r="G44" i="11"/>
  <c r="J44" i="11"/>
  <c r="I44" i="11"/>
  <c r="H44" i="11"/>
  <c r="P43" i="11"/>
  <c r="G43" i="11"/>
  <c r="J43" i="11"/>
  <c r="I43" i="11"/>
  <c r="H43" i="11"/>
  <c r="B43" i="11"/>
  <c r="B41" i="11"/>
  <c r="F41" i="11"/>
  <c r="G42" i="11"/>
  <c r="H42" i="11"/>
  <c r="I42" i="11"/>
  <c r="L42" i="11"/>
  <c r="J42" i="11"/>
  <c r="G41" i="11"/>
  <c r="H41" i="11"/>
  <c r="I41" i="11"/>
  <c r="L41" i="11"/>
  <c r="J41" i="11"/>
  <c r="N40" i="11"/>
  <c r="F39" i="11"/>
  <c r="G40" i="11"/>
  <c r="J40" i="11"/>
  <c r="I40" i="11"/>
  <c r="H40" i="11"/>
  <c r="N39" i="11"/>
  <c r="G39" i="11"/>
  <c r="J39" i="11"/>
  <c r="I39" i="11"/>
  <c r="H39" i="11"/>
  <c r="B39" i="11"/>
  <c r="B37" i="11"/>
  <c r="F37" i="11"/>
  <c r="G38" i="11"/>
  <c r="H38" i="11"/>
  <c r="I38" i="11"/>
  <c r="L38" i="11"/>
  <c r="J38" i="11"/>
  <c r="G37" i="11"/>
  <c r="H37" i="11"/>
  <c r="I37" i="11"/>
  <c r="L37" i="11"/>
  <c r="J37" i="11"/>
  <c r="R36" i="11"/>
  <c r="B35" i="11"/>
  <c r="F35" i="11"/>
  <c r="G36" i="11"/>
  <c r="J36" i="11"/>
  <c r="H36" i="11"/>
  <c r="I36" i="11"/>
  <c r="R35" i="11"/>
  <c r="G35" i="11"/>
  <c r="J35" i="11"/>
  <c r="H35" i="11"/>
  <c r="I35" i="11"/>
  <c r="L34" i="11"/>
  <c r="F33" i="11"/>
  <c r="G34" i="11"/>
  <c r="J34" i="11"/>
  <c r="I34" i="11"/>
  <c r="H34" i="11"/>
  <c r="L33" i="11"/>
  <c r="G33" i="11"/>
  <c r="J33" i="11"/>
  <c r="I33" i="11"/>
  <c r="H33" i="11"/>
  <c r="B33" i="11"/>
  <c r="N32" i="11"/>
  <c r="F31" i="11"/>
  <c r="G32" i="11"/>
  <c r="J32" i="11"/>
  <c r="I32" i="11"/>
  <c r="H32" i="11"/>
  <c r="N31" i="11"/>
  <c r="G31" i="11"/>
  <c r="J31" i="11"/>
  <c r="I31" i="11"/>
  <c r="H31" i="11"/>
  <c r="B31" i="11"/>
  <c r="B29" i="11"/>
  <c r="G30" i="11"/>
  <c r="H30" i="11"/>
  <c r="I30" i="11"/>
  <c r="L30" i="11"/>
  <c r="J30" i="11"/>
  <c r="G29" i="11"/>
  <c r="H29" i="11"/>
  <c r="I29" i="11"/>
  <c r="L29" i="11"/>
  <c r="J29" i="11"/>
  <c r="P28" i="11"/>
  <c r="F27" i="11"/>
  <c r="G28" i="11"/>
  <c r="J28" i="11"/>
  <c r="I28" i="11"/>
  <c r="H28" i="11"/>
  <c r="P27" i="11"/>
  <c r="G27" i="11"/>
  <c r="J27" i="11"/>
  <c r="I27" i="11"/>
  <c r="H27" i="11"/>
  <c r="B27" i="11"/>
  <c r="B25" i="11"/>
  <c r="F25" i="11"/>
  <c r="G26" i="11"/>
  <c r="H26" i="11"/>
  <c r="I26" i="11"/>
  <c r="L26" i="11"/>
  <c r="J26" i="11"/>
  <c r="G25" i="11"/>
  <c r="H25" i="11"/>
  <c r="I25" i="11"/>
  <c r="L25" i="11"/>
  <c r="J25" i="11"/>
  <c r="N24" i="11"/>
  <c r="F23" i="11"/>
  <c r="G24" i="11"/>
  <c r="J24" i="11"/>
  <c r="I24" i="11"/>
  <c r="H24" i="11"/>
  <c r="N23" i="11"/>
  <c r="G23" i="11"/>
  <c r="J23" i="11"/>
  <c r="I23" i="11"/>
  <c r="H23" i="11"/>
  <c r="B23" i="11"/>
  <c r="B21" i="11"/>
  <c r="F21" i="11"/>
  <c r="G22" i="11"/>
  <c r="H22" i="11"/>
  <c r="I22" i="11"/>
  <c r="L22" i="11"/>
  <c r="J22" i="11"/>
  <c r="G21" i="11"/>
  <c r="H21" i="11"/>
  <c r="I21" i="11"/>
  <c r="L21" i="11"/>
  <c r="J21" i="11"/>
  <c r="R20" i="11"/>
  <c r="B19" i="11"/>
  <c r="F19" i="11"/>
  <c r="G20" i="11"/>
  <c r="J20" i="11"/>
  <c r="H20" i="11"/>
  <c r="I20" i="11"/>
  <c r="R19" i="11"/>
  <c r="G19" i="11"/>
  <c r="J19" i="11"/>
  <c r="H19" i="11"/>
  <c r="I19" i="11"/>
  <c r="L18" i="11"/>
  <c r="F17" i="11"/>
  <c r="G18" i="11"/>
  <c r="J18" i="11"/>
  <c r="I18" i="11"/>
  <c r="H18" i="11"/>
  <c r="L17" i="11"/>
  <c r="G17" i="11"/>
  <c r="J17" i="11"/>
  <c r="I17" i="11"/>
  <c r="H17" i="11"/>
  <c r="B17" i="11"/>
  <c r="N16" i="11"/>
  <c r="F15" i="11"/>
  <c r="G16" i="11"/>
  <c r="J16" i="11"/>
  <c r="I16" i="11"/>
  <c r="H16" i="11"/>
  <c r="N15" i="11"/>
  <c r="G15" i="11"/>
  <c r="J15" i="11"/>
  <c r="I15" i="11"/>
  <c r="H15" i="11"/>
  <c r="B15" i="11"/>
  <c r="B13" i="11"/>
  <c r="F13" i="11"/>
  <c r="G14" i="11"/>
  <c r="H14" i="11"/>
  <c r="I14" i="11"/>
  <c r="L14" i="11"/>
  <c r="J14" i="11"/>
  <c r="G13" i="11"/>
  <c r="H13" i="11"/>
  <c r="I13" i="11"/>
  <c r="L13" i="11"/>
  <c r="J13" i="11"/>
  <c r="P12" i="11"/>
  <c r="B11" i="11"/>
  <c r="F11" i="11"/>
  <c r="G12" i="11"/>
  <c r="J12" i="11"/>
  <c r="H12" i="11"/>
  <c r="I12" i="11"/>
  <c r="P11" i="11"/>
  <c r="G11" i="11"/>
  <c r="J11" i="11"/>
  <c r="H11" i="11"/>
  <c r="I11" i="11"/>
  <c r="L10" i="11"/>
  <c r="B9" i="11"/>
  <c r="G10" i="11"/>
  <c r="J10" i="11"/>
  <c r="H10" i="11"/>
  <c r="I10" i="11"/>
  <c r="L9" i="11"/>
  <c r="G9" i="11"/>
  <c r="J9" i="11"/>
  <c r="H9" i="11"/>
  <c r="I9" i="11"/>
  <c r="N8" i="11"/>
  <c r="F7" i="11"/>
  <c r="G8" i="11"/>
  <c r="J8" i="11"/>
  <c r="I8" i="11"/>
  <c r="H8" i="11"/>
  <c r="N7" i="11"/>
  <c r="G7" i="11"/>
  <c r="J7" i="11"/>
  <c r="I7" i="11"/>
  <c r="H7" i="11"/>
  <c r="B7" i="11"/>
  <c r="F5" i="11"/>
  <c r="G6" i="11"/>
  <c r="H6" i="11"/>
  <c r="I6" i="11"/>
  <c r="L6" i="11"/>
  <c r="J6" i="11"/>
  <c r="G5" i="11"/>
  <c r="H5" i="11"/>
  <c r="I5" i="11"/>
  <c r="L5" i="11"/>
  <c r="J5" i="11"/>
  <c r="R1" i="11"/>
  <c r="A1" i="11"/>
  <c r="H66" i="6"/>
  <c r="H65" i="6"/>
  <c r="H64" i="6"/>
  <c r="H63" i="6"/>
  <c r="H62" i="6"/>
  <c r="H61" i="6"/>
  <c r="H60" i="6"/>
  <c r="H59" i="6"/>
  <c r="H43" i="6"/>
  <c r="H42" i="6"/>
  <c r="H41" i="6"/>
  <c r="P40" i="6"/>
  <c r="H40" i="6"/>
  <c r="F35" i="6"/>
  <c r="G36" i="6"/>
  <c r="N32" i="6"/>
  <c r="N31" i="6"/>
  <c r="L30" i="6"/>
  <c r="G30" i="6"/>
  <c r="J30" i="6"/>
  <c r="L29" i="6"/>
  <c r="G29" i="6"/>
  <c r="J29" i="6"/>
  <c r="P28" i="6"/>
  <c r="P27" i="6"/>
  <c r="N24" i="6"/>
  <c r="N23" i="6"/>
  <c r="C23" i="6"/>
  <c r="F21" i="6"/>
  <c r="G22" i="6"/>
  <c r="B21" i="6"/>
  <c r="P20" i="6"/>
  <c r="P19" i="6"/>
  <c r="B19" i="6"/>
  <c r="F19" i="6"/>
  <c r="C17" i="6"/>
  <c r="N16" i="6"/>
  <c r="G16" i="6"/>
  <c r="N15" i="6"/>
  <c r="G15" i="6"/>
  <c r="J15" i="6"/>
  <c r="L14" i="6"/>
  <c r="G14" i="6"/>
  <c r="J14" i="6"/>
  <c r="L13" i="6"/>
  <c r="H13" i="6"/>
  <c r="G13" i="6"/>
  <c r="J13" i="6"/>
  <c r="P12" i="6"/>
  <c r="G12" i="6"/>
  <c r="J12" i="6"/>
  <c r="P11" i="6"/>
  <c r="H11" i="6"/>
  <c r="G11" i="6"/>
  <c r="J11" i="6"/>
  <c r="G10" i="6"/>
  <c r="J10" i="6"/>
  <c r="J9" i="6"/>
  <c r="I9" i="6"/>
  <c r="H9" i="6"/>
  <c r="G9" i="6"/>
  <c r="N8" i="6"/>
  <c r="N7" i="6"/>
  <c r="E7" i="6"/>
  <c r="D7" i="6"/>
  <c r="B7" i="6"/>
  <c r="F5" i="6"/>
  <c r="G6" i="6"/>
  <c r="B2" i="6"/>
  <c r="E31" i="6"/>
  <c r="P1" i="6"/>
  <c r="A1" i="6"/>
  <c r="H6" i="6"/>
  <c r="I6" i="6"/>
  <c r="L6" i="6"/>
  <c r="J6" i="6"/>
  <c r="G20" i="6"/>
  <c r="G19" i="6"/>
  <c r="H22" i="6"/>
  <c r="J22" i="6"/>
  <c r="I22" i="6"/>
  <c r="L22" i="6"/>
  <c r="J36" i="6"/>
  <c r="I36" i="6"/>
  <c r="L34" i="6"/>
  <c r="H36" i="6"/>
  <c r="J16" i="6"/>
  <c r="H29" i="6"/>
  <c r="H10" i="6"/>
  <c r="F7" i="6"/>
  <c r="D9" i="6"/>
  <c r="I10" i="6"/>
  <c r="I11" i="6"/>
  <c r="L9" i="6"/>
  <c r="H12" i="6"/>
  <c r="I13" i="6"/>
  <c r="H14" i="6"/>
  <c r="I14" i="6"/>
  <c r="H15" i="6"/>
  <c r="E17" i="6"/>
  <c r="G21" i="6"/>
  <c r="E27" i="6"/>
  <c r="I29" i="6"/>
  <c r="H30" i="6"/>
  <c r="I30" i="6"/>
  <c r="E33" i="6"/>
  <c r="G5" i="6"/>
  <c r="E11" i="6"/>
  <c r="I12" i="6"/>
  <c r="L10" i="6"/>
  <c r="I15" i="6"/>
  <c r="H16" i="6"/>
  <c r="I16" i="6"/>
  <c r="F17" i="6"/>
  <c r="E23" i="6"/>
  <c r="F27" i="6"/>
  <c r="F33" i="6"/>
  <c r="E15" i="6"/>
  <c r="F23" i="6"/>
  <c r="G35" i="6"/>
  <c r="G7" i="6"/>
  <c r="G8" i="6"/>
  <c r="J35" i="6"/>
  <c r="H35" i="6"/>
  <c r="I35" i="6"/>
  <c r="L33" i="6"/>
  <c r="H5" i="6"/>
  <c r="I5" i="6"/>
  <c r="L5" i="6"/>
  <c r="J5" i="6"/>
  <c r="G24" i="6"/>
  <c r="G23" i="6"/>
  <c r="G27" i="6"/>
  <c r="G28" i="6"/>
  <c r="I21" i="6"/>
  <c r="L21" i="6"/>
  <c r="H21" i="6"/>
  <c r="J21" i="6"/>
  <c r="D11" i="6"/>
  <c r="B9" i="6"/>
  <c r="J19" i="6"/>
  <c r="I19" i="6"/>
  <c r="L17" i="6"/>
  <c r="H19" i="6"/>
  <c r="G33" i="6"/>
  <c r="G34" i="6"/>
  <c r="G17" i="6"/>
  <c r="G18" i="6"/>
  <c r="I20" i="6"/>
  <c r="L18" i="6"/>
  <c r="H20" i="6"/>
  <c r="J20" i="6"/>
  <c r="H7" i="6"/>
  <c r="J7" i="6"/>
  <c r="I7" i="6"/>
  <c r="J18" i="6"/>
  <c r="I18" i="6"/>
  <c r="H18" i="6"/>
  <c r="D13" i="6"/>
  <c r="B11" i="6"/>
  <c r="J28" i="6"/>
  <c r="I28" i="6"/>
  <c r="H28" i="6"/>
  <c r="J17" i="6"/>
  <c r="I17" i="6"/>
  <c r="H17" i="6"/>
  <c r="J27" i="6"/>
  <c r="I27" i="6"/>
  <c r="H27" i="6"/>
  <c r="J34" i="6"/>
  <c r="I34" i="6"/>
  <c r="H34" i="6"/>
  <c r="J23" i="6"/>
  <c r="I23" i="6"/>
  <c r="H23" i="6"/>
  <c r="J8" i="6"/>
  <c r="I8" i="6"/>
  <c r="H8" i="6"/>
  <c r="J33" i="6"/>
  <c r="I33" i="6"/>
  <c r="H33" i="6"/>
  <c r="I24" i="6"/>
  <c r="H24" i="6"/>
  <c r="J24" i="6"/>
  <c r="D15" i="6"/>
  <c r="B13" i="6"/>
  <c r="B15" i="6"/>
  <c r="D17" i="6"/>
  <c r="D19" i="6"/>
  <c r="D21" i="6"/>
  <c r="D23" i="6"/>
  <c r="B17" i="6"/>
  <c r="D25" i="6"/>
  <c r="B23" i="6"/>
  <c r="B25" i="6"/>
  <c r="F25" i="6"/>
  <c r="D27" i="6"/>
  <c r="B27" i="6"/>
  <c r="D29" i="6"/>
  <c r="G26" i="6"/>
  <c r="G25" i="6"/>
  <c r="I25" i="6"/>
  <c r="L25" i="6"/>
  <c r="H25" i="6"/>
  <c r="J25" i="6"/>
  <c r="H26" i="6"/>
  <c r="J26" i="6"/>
  <c r="I26" i="6"/>
  <c r="L26" i="6"/>
  <c r="D31" i="6"/>
  <c r="B29" i="6"/>
  <c r="B31" i="6"/>
  <c r="F31" i="6"/>
  <c r="D33" i="6"/>
  <c r="B33" i="6"/>
  <c r="D35" i="6"/>
  <c r="G32" i="6"/>
  <c r="G31" i="6"/>
  <c r="H31" i="6"/>
  <c r="I31" i="6"/>
  <c r="J31" i="6"/>
  <c r="H32" i="6"/>
  <c r="I32" i="6"/>
  <c r="J32" i="6"/>
  <c r="J44" i="4"/>
  <c r="J43" i="4"/>
  <c r="J42" i="4"/>
  <c r="J41" i="4"/>
  <c r="J28" i="4"/>
  <c r="R27" i="4"/>
  <c r="J27" i="4"/>
  <c r="J26" i="4"/>
  <c r="J25" i="4"/>
  <c r="G20" i="4"/>
  <c r="I20" i="4"/>
  <c r="F20" i="4"/>
  <c r="N19" i="4"/>
  <c r="P18" i="4"/>
  <c r="N17" i="4"/>
  <c r="R16" i="4"/>
  <c r="L16" i="4"/>
  <c r="K16" i="4"/>
  <c r="J16" i="4"/>
  <c r="N15" i="4"/>
  <c r="P14" i="4"/>
  <c r="L14" i="4"/>
  <c r="K14" i="4"/>
  <c r="J14" i="4"/>
  <c r="C14" i="4"/>
  <c r="N13" i="4"/>
  <c r="B13" i="4"/>
  <c r="G13" i="4"/>
  <c r="R12" i="4"/>
  <c r="N11" i="4"/>
  <c r="L11" i="4"/>
  <c r="J11" i="4"/>
  <c r="K11" i="4"/>
  <c r="P10" i="4"/>
  <c r="C10" i="4"/>
  <c r="N9" i="4"/>
  <c r="B9" i="4"/>
  <c r="G9" i="4"/>
  <c r="R8" i="4"/>
  <c r="N7" i="4"/>
  <c r="L7" i="4"/>
  <c r="J7" i="4"/>
  <c r="K7" i="4"/>
  <c r="P6" i="4"/>
  <c r="N5" i="4"/>
  <c r="I5" i="4"/>
  <c r="L5" i="4"/>
  <c r="H5" i="4"/>
  <c r="G5" i="4"/>
  <c r="F5" i="4"/>
  <c r="B2" i="4"/>
  <c r="E18" i="4"/>
  <c r="R1" i="4"/>
  <c r="A1" i="4"/>
  <c r="F9" i="4"/>
  <c r="I9" i="4"/>
  <c r="H9" i="4"/>
  <c r="I13" i="4"/>
  <c r="H13" i="4"/>
  <c r="F13" i="4"/>
  <c r="L20" i="4"/>
  <c r="K20" i="4"/>
  <c r="J20" i="4"/>
  <c r="E11" i="4"/>
  <c r="J5" i="4"/>
  <c r="E10" i="4"/>
  <c r="K5" i="4"/>
  <c r="E19" i="4"/>
  <c r="H20" i="4"/>
  <c r="E6" i="4"/>
  <c r="D6" i="4"/>
  <c r="E8" i="4"/>
  <c r="E14" i="4"/>
  <c r="E16" i="4"/>
  <c r="L13" i="4"/>
  <c r="J13" i="4"/>
  <c r="K13" i="4"/>
  <c r="D7" i="4"/>
  <c r="B6" i="4"/>
  <c r="G6" i="4"/>
  <c r="J9" i="4"/>
  <c r="K9" i="4"/>
  <c r="L9" i="4"/>
  <c r="B7" i="4"/>
  <c r="G7" i="4"/>
  <c r="D8" i="4"/>
  <c r="I6" i="4"/>
  <c r="F6" i="4"/>
  <c r="H6" i="4"/>
  <c r="J6" i="4"/>
  <c r="K6" i="4"/>
  <c r="L6" i="4"/>
  <c r="D9" i="4"/>
  <c r="D10" i="4"/>
  <c r="B8" i="4"/>
  <c r="G8" i="4"/>
  <c r="H7" i="4"/>
  <c r="F7" i="4"/>
  <c r="D11" i="4"/>
  <c r="B10" i="4"/>
  <c r="G10" i="4"/>
  <c r="I8" i="4"/>
  <c r="H8" i="4"/>
  <c r="F8" i="4"/>
  <c r="L8" i="4"/>
  <c r="J8" i="4"/>
  <c r="K8" i="4"/>
  <c r="F10" i="4"/>
  <c r="I10" i="4"/>
  <c r="H10" i="4"/>
  <c r="B11" i="4"/>
  <c r="G11" i="4"/>
  <c r="D12" i="4"/>
  <c r="D13" i="4"/>
  <c r="D14" i="4"/>
  <c r="B12" i="4"/>
  <c r="G12" i="4"/>
  <c r="H11" i="4"/>
  <c r="F11" i="4"/>
  <c r="J10" i="4"/>
  <c r="K10" i="4"/>
  <c r="L10" i="4"/>
  <c r="F12" i="4"/>
  <c r="I12" i="4"/>
  <c r="H12" i="4"/>
  <c r="D15" i="4"/>
  <c r="B14" i="4"/>
  <c r="G14" i="4"/>
  <c r="B15" i="4"/>
  <c r="G15" i="4"/>
  <c r="D16" i="4"/>
  <c r="J12" i="4"/>
  <c r="K12" i="4"/>
  <c r="L12" i="4"/>
  <c r="H14" i="4"/>
  <c r="F14" i="4"/>
  <c r="D17" i="4"/>
  <c r="B16" i="4"/>
  <c r="G16" i="4"/>
  <c r="H15" i="4"/>
  <c r="F15" i="4"/>
  <c r="I15" i="4"/>
  <c r="F16" i="4"/>
  <c r="H16" i="4"/>
  <c r="L15" i="4"/>
  <c r="K15" i="4"/>
  <c r="J15" i="4"/>
  <c r="B17" i="4"/>
  <c r="G17" i="4"/>
  <c r="D18" i="4"/>
  <c r="D19" i="4"/>
  <c r="B18" i="4"/>
  <c r="G18" i="4"/>
  <c r="H17" i="4"/>
  <c r="I17" i="4"/>
  <c r="F17" i="4"/>
  <c r="L17" i="4"/>
  <c r="J17" i="4"/>
  <c r="K17" i="4"/>
  <c r="I18" i="4"/>
  <c r="F18" i="4"/>
  <c r="H18" i="4"/>
  <c r="D20" i="4"/>
  <c r="B19" i="4"/>
  <c r="G19" i="4"/>
  <c r="J18" i="4"/>
  <c r="K18" i="4"/>
  <c r="L18" i="4"/>
  <c r="F19" i="4"/>
  <c r="I19" i="4"/>
  <c r="H19" i="4"/>
  <c r="J19" i="4"/>
  <c r="K19" i="4"/>
  <c r="L19" i="4"/>
  <c r="J44" i="3"/>
  <c r="J43" i="3"/>
  <c r="J42" i="3"/>
  <c r="J41" i="3"/>
  <c r="J28" i="3"/>
  <c r="R27" i="3"/>
  <c r="J27" i="3"/>
  <c r="J26" i="3"/>
  <c r="J25" i="3"/>
  <c r="L20" i="3"/>
  <c r="J20" i="3"/>
  <c r="K20" i="3"/>
  <c r="G20" i="3"/>
  <c r="H20" i="3"/>
  <c r="N19" i="3"/>
  <c r="L19" i="3"/>
  <c r="J19" i="3"/>
  <c r="K19" i="3"/>
  <c r="B2" i="3"/>
  <c r="E19" i="3"/>
  <c r="P18" i="3"/>
  <c r="L18" i="3"/>
  <c r="J18" i="3"/>
  <c r="K18" i="3"/>
  <c r="N17" i="3"/>
  <c r="L17" i="3"/>
  <c r="J17" i="3"/>
  <c r="K17" i="3"/>
  <c r="R16" i="3"/>
  <c r="L16" i="3"/>
  <c r="J16" i="3"/>
  <c r="K16" i="3"/>
  <c r="N15" i="3"/>
  <c r="L15" i="3"/>
  <c r="J15" i="3"/>
  <c r="K15" i="3"/>
  <c r="H15" i="3"/>
  <c r="F15" i="3"/>
  <c r="P14" i="3"/>
  <c r="L14" i="3"/>
  <c r="J14" i="3"/>
  <c r="K14" i="3"/>
  <c r="C14" i="3"/>
  <c r="N13" i="3"/>
  <c r="L13" i="3"/>
  <c r="J13" i="3"/>
  <c r="K13" i="3"/>
  <c r="H13" i="3"/>
  <c r="F13" i="3"/>
  <c r="B13" i="3"/>
  <c r="R12" i="3"/>
  <c r="L12" i="3"/>
  <c r="J12" i="3"/>
  <c r="K12" i="3"/>
  <c r="N11" i="3"/>
  <c r="L11" i="3"/>
  <c r="J11" i="3"/>
  <c r="K11" i="3"/>
  <c r="H11" i="3"/>
  <c r="F11" i="3"/>
  <c r="P10" i="3"/>
  <c r="L10" i="3"/>
  <c r="J10" i="3"/>
  <c r="K10" i="3"/>
  <c r="C10" i="3"/>
  <c r="E10" i="3"/>
  <c r="N9" i="3"/>
  <c r="B9" i="3"/>
  <c r="G9" i="3"/>
  <c r="I9" i="3"/>
  <c r="L9" i="3"/>
  <c r="H9" i="3"/>
  <c r="R8" i="3"/>
  <c r="L8" i="3"/>
  <c r="J8" i="3"/>
  <c r="K8" i="3"/>
  <c r="N7" i="3"/>
  <c r="L7" i="3"/>
  <c r="J7" i="3"/>
  <c r="K7" i="3"/>
  <c r="H7" i="3"/>
  <c r="F7" i="3"/>
  <c r="P6" i="3"/>
  <c r="L6" i="3"/>
  <c r="J6" i="3"/>
  <c r="K6" i="3"/>
  <c r="N5" i="3"/>
  <c r="G5" i="3"/>
  <c r="F5" i="3"/>
  <c r="E16" i="3"/>
  <c r="R1" i="3"/>
  <c r="A1" i="3"/>
  <c r="H5" i="3"/>
  <c r="E6" i="3"/>
  <c r="D6" i="3"/>
  <c r="F9" i="3"/>
  <c r="J9" i="3"/>
  <c r="K9" i="3"/>
  <c r="E14" i="3"/>
  <c r="F20" i="3"/>
  <c r="I5" i="3"/>
  <c r="E11" i="3"/>
  <c r="E18" i="3"/>
  <c r="E8" i="3"/>
  <c r="B6" i="3"/>
  <c r="G6" i="3"/>
  <c r="D7" i="3"/>
  <c r="J5" i="3"/>
  <c r="K5" i="3"/>
  <c r="L5" i="3"/>
  <c r="D8" i="3"/>
  <c r="B7" i="3"/>
  <c r="F6" i="3"/>
  <c r="H6" i="3"/>
  <c r="D9" i="3"/>
  <c r="D10" i="3"/>
  <c r="B8" i="3"/>
  <c r="G8" i="3"/>
  <c r="H8" i="3"/>
  <c r="F8" i="3"/>
  <c r="D11" i="3"/>
  <c r="B10" i="3"/>
  <c r="G10" i="3"/>
  <c r="H10" i="3"/>
  <c r="F10" i="3"/>
  <c r="B11" i="3"/>
  <c r="D12" i="3"/>
  <c r="D13" i="3"/>
  <c r="D14" i="3"/>
  <c r="B12" i="3"/>
  <c r="G12" i="3"/>
  <c r="F12" i="3"/>
  <c r="H12" i="3"/>
  <c r="D15" i="3"/>
  <c r="B14" i="3"/>
  <c r="G14" i="3"/>
  <c r="F14" i="3"/>
  <c r="H14" i="3"/>
  <c r="D16" i="3"/>
  <c r="B15" i="3"/>
  <c r="B16" i="3"/>
  <c r="G16" i="3"/>
  <c r="D17" i="3"/>
  <c r="B17" i="3"/>
  <c r="G17" i="3"/>
  <c r="D18" i="3"/>
  <c r="F16" i="3"/>
  <c r="H16" i="3"/>
  <c r="D19" i="3"/>
  <c r="B18" i="3"/>
  <c r="G18" i="3"/>
  <c r="H17" i="3"/>
  <c r="F17" i="3"/>
  <c r="F18" i="3"/>
  <c r="H18" i="3"/>
  <c r="B19" i="3"/>
  <c r="G19" i="3"/>
  <c r="D20" i="3"/>
  <c r="H19" i="3"/>
  <c r="F19" i="3"/>
  <c r="J44" i="2"/>
  <c r="J43" i="2"/>
  <c r="J42" i="2"/>
  <c r="J41" i="2"/>
  <c r="J28" i="2"/>
  <c r="R27" i="2"/>
  <c r="J27" i="2"/>
  <c r="J26" i="2"/>
  <c r="J25" i="2"/>
  <c r="G20" i="2"/>
  <c r="I20" i="2"/>
  <c r="N19" i="2"/>
  <c r="P18" i="2"/>
  <c r="N17" i="2"/>
  <c r="R16" i="2"/>
  <c r="L16" i="2"/>
  <c r="J16" i="2"/>
  <c r="K16" i="2"/>
  <c r="N15" i="2"/>
  <c r="P14" i="2"/>
  <c r="C14" i="2"/>
  <c r="N13" i="2"/>
  <c r="L13" i="2"/>
  <c r="J13" i="2"/>
  <c r="K13" i="2"/>
  <c r="G13" i="2"/>
  <c r="H13" i="2"/>
  <c r="B13" i="2"/>
  <c r="R12" i="2"/>
  <c r="N11" i="2"/>
  <c r="E11" i="2"/>
  <c r="P10" i="2"/>
  <c r="C10" i="2"/>
  <c r="N9" i="2"/>
  <c r="B9" i="2"/>
  <c r="G9" i="2"/>
  <c r="R8" i="2"/>
  <c r="N7" i="2"/>
  <c r="P6" i="2"/>
  <c r="E6" i="2"/>
  <c r="D6" i="2"/>
  <c r="N5" i="2"/>
  <c r="H5" i="2"/>
  <c r="G5" i="2"/>
  <c r="I5" i="2"/>
  <c r="F5" i="2"/>
  <c r="B2" i="2"/>
  <c r="E18" i="2"/>
  <c r="R1" i="2"/>
  <c r="A1" i="2"/>
  <c r="D7" i="2"/>
  <c r="B6" i="2"/>
  <c r="G6" i="2"/>
  <c r="H9" i="2"/>
  <c r="F9" i="2"/>
  <c r="I9" i="2"/>
  <c r="J5" i="2"/>
  <c r="L5" i="2"/>
  <c r="K5" i="2"/>
  <c r="L20" i="2"/>
  <c r="K20" i="2"/>
  <c r="J20" i="2"/>
  <c r="E10" i="2"/>
  <c r="F13" i="2"/>
  <c r="F20" i="2"/>
  <c r="E8" i="2"/>
  <c r="E14" i="2"/>
  <c r="E19" i="2"/>
  <c r="H20" i="2"/>
  <c r="E16" i="2"/>
  <c r="F6" i="2"/>
  <c r="H6" i="2"/>
  <c r="I6" i="2"/>
  <c r="L9" i="2"/>
  <c r="J9" i="2"/>
  <c r="K9" i="2"/>
  <c r="B7" i="2"/>
  <c r="G7" i="2"/>
  <c r="D8" i="2"/>
  <c r="I7" i="2"/>
  <c r="H7" i="2"/>
  <c r="F7" i="2"/>
  <c r="J6" i="2"/>
  <c r="K6" i="2"/>
  <c r="L6" i="2"/>
  <c r="D9" i="2"/>
  <c r="D10" i="2"/>
  <c r="B8" i="2"/>
  <c r="G8" i="2"/>
  <c r="B10" i="2"/>
  <c r="G10" i="2"/>
  <c r="D11" i="2"/>
  <c r="F8" i="2"/>
  <c r="H8" i="2"/>
  <c r="I8" i="2"/>
  <c r="L7" i="2"/>
  <c r="J7" i="2"/>
  <c r="K7" i="2"/>
  <c r="D12" i="2"/>
  <c r="B11" i="2"/>
  <c r="G11" i="2"/>
  <c r="J8" i="2"/>
  <c r="K8" i="2"/>
  <c r="L8" i="2"/>
  <c r="H10" i="2"/>
  <c r="F10" i="2"/>
  <c r="I10" i="2"/>
  <c r="I11" i="2"/>
  <c r="H11" i="2"/>
  <c r="F11" i="2"/>
  <c r="L10" i="2"/>
  <c r="J10" i="2"/>
  <c r="K10" i="2"/>
  <c r="D13" i="2"/>
  <c r="D14" i="2"/>
  <c r="B12" i="2"/>
  <c r="G12" i="2"/>
  <c r="B14" i="2"/>
  <c r="G14" i="2"/>
  <c r="D15" i="2"/>
  <c r="F12" i="2"/>
  <c r="I12" i="2"/>
  <c r="H12" i="2"/>
  <c r="L11" i="2"/>
  <c r="J11" i="2"/>
  <c r="K11" i="2"/>
  <c r="J12" i="2"/>
  <c r="K12" i="2"/>
  <c r="L12" i="2"/>
  <c r="B15" i="2"/>
  <c r="G15" i="2"/>
  <c r="D16" i="2"/>
  <c r="F14" i="2"/>
  <c r="I14" i="2"/>
  <c r="H14" i="2"/>
  <c r="J14" i="2"/>
  <c r="K14" i="2"/>
  <c r="L14" i="2"/>
  <c r="H15" i="2"/>
  <c r="F15" i="2"/>
  <c r="I15" i="2"/>
  <c r="B16" i="2"/>
  <c r="G16" i="2"/>
  <c r="D17" i="2"/>
  <c r="H16" i="2"/>
  <c r="F16" i="2"/>
  <c r="L15" i="2"/>
  <c r="J15" i="2"/>
  <c r="K15" i="2"/>
  <c r="B17" i="2"/>
  <c r="G17" i="2"/>
  <c r="D18" i="2"/>
  <c r="D19" i="2"/>
  <c r="B18" i="2"/>
  <c r="G18" i="2"/>
  <c r="H17" i="2"/>
  <c r="F17" i="2"/>
  <c r="I17" i="2"/>
  <c r="I18" i="2"/>
  <c r="H18" i="2"/>
  <c r="F18" i="2"/>
  <c r="L17" i="2"/>
  <c r="J17" i="2"/>
  <c r="K17" i="2"/>
  <c r="D20" i="2"/>
  <c r="B19" i="2"/>
  <c r="G19" i="2"/>
  <c r="F19" i="2"/>
  <c r="I19" i="2"/>
  <c r="H19" i="2"/>
  <c r="L18" i="2"/>
  <c r="J18" i="2"/>
  <c r="K18" i="2"/>
  <c r="J19" i="2"/>
  <c r="K19" i="2"/>
  <c r="L19" i="2"/>
  <c r="J106" i="1"/>
  <c r="J105" i="1"/>
  <c r="J104" i="1"/>
  <c r="J103" i="1"/>
  <c r="J102" i="1"/>
  <c r="J101" i="1"/>
  <c r="J100" i="1"/>
  <c r="J99" i="1"/>
  <c r="J98" i="1"/>
  <c r="J97" i="1"/>
  <c r="J96" i="1"/>
  <c r="J95" i="1"/>
  <c r="J94" i="1"/>
  <c r="J93" i="1"/>
  <c r="J92" i="1"/>
  <c r="J91" i="1"/>
  <c r="P81" i="1"/>
  <c r="R78" i="1"/>
  <c r="P78" i="1"/>
  <c r="R77" i="1"/>
  <c r="P77" i="1"/>
  <c r="R76" i="1"/>
  <c r="P76" i="1"/>
  <c r="R75" i="1"/>
  <c r="P75" i="1"/>
  <c r="R74" i="1"/>
  <c r="P74" i="1"/>
  <c r="R73" i="1"/>
  <c r="P73" i="1"/>
  <c r="R72" i="1"/>
  <c r="P72" i="1"/>
  <c r="R71" i="1"/>
  <c r="P71" i="1"/>
  <c r="L68" i="1"/>
  <c r="J68" i="1"/>
  <c r="K68" i="1"/>
  <c r="H68" i="1"/>
  <c r="F68" i="1"/>
  <c r="N67" i="1"/>
  <c r="C67" i="1"/>
  <c r="P66" i="1"/>
  <c r="N65" i="1"/>
  <c r="L65" i="1"/>
  <c r="J65" i="1"/>
  <c r="K65" i="1"/>
  <c r="R64" i="1"/>
  <c r="N63" i="1"/>
  <c r="P62" i="1"/>
  <c r="N61" i="1"/>
  <c r="L61" i="1"/>
  <c r="K61" i="1"/>
  <c r="J61" i="1"/>
  <c r="H61" i="1"/>
  <c r="F61" i="1"/>
  <c r="B61" i="1"/>
  <c r="T60" i="1"/>
  <c r="L60" i="1"/>
  <c r="K60" i="1"/>
  <c r="J60" i="1"/>
  <c r="H60" i="1"/>
  <c r="F60" i="1"/>
  <c r="B60" i="1"/>
  <c r="C59" i="1"/>
  <c r="N59" i="1"/>
  <c r="L59" i="1"/>
  <c r="K59" i="1"/>
  <c r="J59" i="1"/>
  <c r="P58" i="1"/>
  <c r="N57" i="1"/>
  <c r="L57" i="1"/>
  <c r="K57" i="1"/>
  <c r="J57" i="1"/>
  <c r="R56" i="1"/>
  <c r="N55" i="1"/>
  <c r="P54" i="1"/>
  <c r="L54" i="1"/>
  <c r="K54" i="1"/>
  <c r="J54" i="1"/>
  <c r="N53" i="1"/>
  <c r="L53" i="1"/>
  <c r="J53" i="1"/>
  <c r="K53" i="1"/>
  <c r="H53" i="1"/>
  <c r="F53" i="1"/>
  <c r="B53" i="1"/>
  <c r="C54" i="1"/>
  <c r="T52" i="1"/>
  <c r="L52" i="1"/>
  <c r="J52" i="1"/>
  <c r="K52" i="1"/>
  <c r="H52" i="1"/>
  <c r="F52" i="1"/>
  <c r="B52" i="1"/>
  <c r="C51" i="1"/>
  <c r="N51" i="1"/>
  <c r="P50" i="1"/>
  <c r="N49" i="1"/>
  <c r="L49" i="1"/>
  <c r="K49" i="1"/>
  <c r="J49" i="1"/>
  <c r="R48" i="1"/>
  <c r="N47" i="1"/>
  <c r="P46" i="1"/>
  <c r="N45" i="1"/>
  <c r="L45" i="1"/>
  <c r="K45" i="1"/>
  <c r="J45" i="1"/>
  <c r="H45" i="1"/>
  <c r="F45" i="1"/>
  <c r="B45" i="1"/>
  <c r="C46" i="1"/>
  <c r="T44" i="1"/>
  <c r="L44" i="1"/>
  <c r="K44" i="1"/>
  <c r="J44" i="1"/>
  <c r="H44" i="1"/>
  <c r="F44" i="1"/>
  <c r="B44" i="1"/>
  <c r="N43" i="1"/>
  <c r="C43" i="1"/>
  <c r="P42" i="1"/>
  <c r="N41" i="1"/>
  <c r="R40" i="1"/>
  <c r="N39" i="1"/>
  <c r="P38" i="1"/>
  <c r="C38" i="1"/>
  <c r="R37" i="1"/>
  <c r="N37" i="1"/>
  <c r="L37" i="1"/>
  <c r="J37" i="1"/>
  <c r="K37" i="1"/>
  <c r="H37" i="1"/>
  <c r="F37" i="1"/>
  <c r="B37" i="1"/>
  <c r="T36" i="1"/>
  <c r="L36" i="1"/>
  <c r="J36" i="1"/>
  <c r="K36" i="1"/>
  <c r="H36" i="1"/>
  <c r="F36" i="1"/>
  <c r="B36" i="1"/>
  <c r="N35" i="1"/>
  <c r="L35" i="1"/>
  <c r="J35" i="1"/>
  <c r="K35" i="1"/>
  <c r="C35" i="1"/>
  <c r="P34" i="1"/>
  <c r="E34" i="1"/>
  <c r="N33" i="1"/>
  <c r="R32" i="1"/>
  <c r="N31" i="1"/>
  <c r="P30" i="1"/>
  <c r="N29" i="1"/>
  <c r="L29" i="1"/>
  <c r="J29" i="1"/>
  <c r="K29" i="1"/>
  <c r="H29" i="1"/>
  <c r="F29" i="1"/>
  <c r="B29" i="1"/>
  <c r="C30" i="1"/>
  <c r="T28" i="1"/>
  <c r="L28" i="1"/>
  <c r="J28" i="1"/>
  <c r="K28" i="1"/>
  <c r="H28" i="1"/>
  <c r="F28" i="1"/>
  <c r="B28" i="1"/>
  <c r="N27" i="1"/>
  <c r="C27" i="1"/>
  <c r="P26" i="1"/>
  <c r="N25" i="1"/>
  <c r="L25" i="1"/>
  <c r="J25" i="1"/>
  <c r="K25" i="1"/>
  <c r="R24" i="1"/>
  <c r="N23" i="1"/>
  <c r="P22" i="1"/>
  <c r="C22" i="1"/>
  <c r="N21" i="1"/>
  <c r="L21" i="1"/>
  <c r="K21" i="1"/>
  <c r="J21" i="1"/>
  <c r="H21" i="1"/>
  <c r="F21" i="1"/>
  <c r="B21" i="1"/>
  <c r="T20" i="1"/>
  <c r="L20" i="1"/>
  <c r="K20" i="1"/>
  <c r="J20" i="1"/>
  <c r="H20" i="1"/>
  <c r="F20" i="1"/>
  <c r="B20" i="1"/>
  <c r="N19" i="1"/>
  <c r="L19" i="1"/>
  <c r="K19" i="1"/>
  <c r="J19" i="1"/>
  <c r="C19" i="1"/>
  <c r="P18" i="1"/>
  <c r="L18" i="1"/>
  <c r="J18" i="1"/>
  <c r="K18" i="1"/>
  <c r="E18" i="1"/>
  <c r="N17" i="1"/>
  <c r="R16" i="1"/>
  <c r="L16" i="1"/>
  <c r="J16" i="1"/>
  <c r="K16" i="1"/>
  <c r="E16" i="1"/>
  <c r="N15" i="1"/>
  <c r="P14" i="1"/>
  <c r="N13" i="1"/>
  <c r="L13" i="1"/>
  <c r="J13" i="1"/>
  <c r="K13" i="1"/>
  <c r="H13" i="1"/>
  <c r="F13" i="1"/>
  <c r="B13" i="1"/>
  <c r="C14" i="1"/>
  <c r="T12" i="1"/>
  <c r="L12" i="1"/>
  <c r="J12" i="1"/>
  <c r="K12" i="1"/>
  <c r="H12" i="1"/>
  <c r="F12" i="1"/>
  <c r="B12" i="1"/>
  <c r="C11" i="1"/>
  <c r="N11" i="1"/>
  <c r="P10" i="1"/>
  <c r="N9" i="1"/>
  <c r="R8" i="1"/>
  <c r="L8" i="1"/>
  <c r="K8" i="1"/>
  <c r="J8" i="1"/>
  <c r="E8" i="1"/>
  <c r="N7" i="1"/>
  <c r="P6" i="1"/>
  <c r="G6" i="1"/>
  <c r="C6" i="1"/>
  <c r="G5" i="1"/>
  <c r="B2" i="1"/>
  <c r="T1" i="1"/>
  <c r="A1" i="1"/>
  <c r="F6" i="1"/>
  <c r="I6" i="1"/>
  <c r="H6" i="1"/>
  <c r="F5" i="1"/>
  <c r="I5" i="1"/>
  <c r="H5" i="1"/>
  <c r="E35" i="1"/>
  <c r="E59" i="1"/>
  <c r="E58" i="1"/>
  <c r="E56" i="1"/>
  <c r="E54" i="1"/>
  <c r="E51" i="1"/>
  <c r="E50" i="1"/>
  <c r="E48" i="1"/>
  <c r="E67" i="1"/>
  <c r="E66" i="1"/>
  <c r="E64" i="1"/>
  <c r="E46" i="1"/>
  <c r="E62" i="1"/>
  <c r="E40" i="1"/>
  <c r="E6" i="1"/>
  <c r="D6" i="1"/>
  <c r="E22" i="1"/>
  <c r="E27" i="1"/>
  <c r="E38" i="1"/>
  <c r="E42" i="1"/>
  <c r="E10" i="1"/>
  <c r="E11" i="1"/>
  <c r="E14" i="1"/>
  <c r="E19" i="1"/>
  <c r="E24" i="1"/>
  <c r="E26" i="1"/>
  <c r="E30" i="1"/>
  <c r="E32" i="1"/>
  <c r="E43" i="1"/>
  <c r="J6" i="1"/>
  <c r="L6" i="1"/>
  <c r="K6" i="1"/>
  <c r="B6" i="1"/>
  <c r="D7" i="1"/>
  <c r="J5" i="1"/>
  <c r="L5" i="1"/>
  <c r="K5" i="1"/>
  <c r="N5" i="1"/>
  <c r="B7" i="1"/>
  <c r="G7" i="1"/>
  <c r="D8" i="1"/>
  <c r="B8" i="1"/>
  <c r="G8" i="1"/>
  <c r="D9" i="1"/>
  <c r="H7" i="1"/>
  <c r="F7" i="1"/>
  <c r="I7" i="1"/>
  <c r="B9" i="1"/>
  <c r="G9" i="1"/>
  <c r="D10" i="1"/>
  <c r="L7" i="1"/>
  <c r="J7" i="1"/>
  <c r="K7" i="1"/>
  <c r="H8" i="1"/>
  <c r="F8" i="1"/>
  <c r="D11" i="1"/>
  <c r="B10" i="1"/>
  <c r="G10" i="1"/>
  <c r="H9" i="1"/>
  <c r="F9" i="1"/>
  <c r="I9" i="1"/>
  <c r="I10" i="1"/>
  <c r="H10" i="1"/>
  <c r="F10" i="1"/>
  <c r="L9" i="1"/>
  <c r="J9" i="1"/>
  <c r="K9" i="1"/>
  <c r="D12" i="1"/>
  <c r="D13" i="1"/>
  <c r="D14" i="1"/>
  <c r="B11" i="1"/>
  <c r="G11" i="1"/>
  <c r="D15" i="1"/>
  <c r="B14" i="1"/>
  <c r="G14" i="1"/>
  <c r="I11" i="1"/>
  <c r="H11" i="1"/>
  <c r="F11" i="1"/>
  <c r="L10" i="1"/>
  <c r="J10" i="1"/>
  <c r="K10" i="1"/>
  <c r="L11" i="1"/>
  <c r="J11" i="1"/>
  <c r="K11" i="1"/>
  <c r="I14" i="1"/>
  <c r="H14" i="1"/>
  <c r="F14" i="1"/>
  <c r="D16" i="1"/>
  <c r="B15" i="1"/>
  <c r="G15" i="1"/>
  <c r="L14" i="1"/>
  <c r="J14" i="1"/>
  <c r="K14" i="1"/>
  <c r="B16" i="1"/>
  <c r="G16" i="1"/>
  <c r="D17" i="1"/>
  <c r="F15" i="1"/>
  <c r="I15" i="1"/>
  <c r="H15" i="1"/>
  <c r="J15" i="1"/>
  <c r="K15" i="1"/>
  <c r="L15" i="1"/>
  <c r="H16" i="1"/>
  <c r="F16" i="1"/>
  <c r="D18" i="1"/>
  <c r="B17" i="1"/>
  <c r="G17" i="1"/>
  <c r="D19" i="1"/>
  <c r="B18" i="1"/>
  <c r="G18" i="1"/>
  <c r="F17" i="1"/>
  <c r="I17" i="1"/>
  <c r="H17" i="1"/>
  <c r="H18" i="1"/>
  <c r="F18" i="1"/>
  <c r="J17" i="1"/>
  <c r="K17" i="1"/>
  <c r="L17" i="1"/>
  <c r="D20" i="1"/>
  <c r="D21" i="1"/>
  <c r="D22" i="1"/>
  <c r="B19" i="1"/>
  <c r="G19" i="1"/>
  <c r="H19" i="1"/>
  <c r="F19" i="1"/>
  <c r="B22" i="1"/>
  <c r="G22" i="1"/>
  <c r="D23" i="1"/>
  <c r="B23" i="1"/>
  <c r="G23" i="1"/>
  <c r="D24" i="1"/>
  <c r="F22" i="1"/>
  <c r="I22" i="1"/>
  <c r="H22" i="1"/>
  <c r="J22" i="1"/>
  <c r="K22" i="1"/>
  <c r="L22" i="1"/>
  <c r="D25" i="1"/>
  <c r="B24" i="1"/>
  <c r="G24" i="1"/>
  <c r="H23" i="1"/>
  <c r="F23" i="1"/>
  <c r="I23" i="1"/>
  <c r="D26" i="1"/>
  <c r="B25" i="1"/>
  <c r="G25" i="1"/>
  <c r="L23" i="1"/>
  <c r="K23" i="1"/>
  <c r="J23" i="1"/>
  <c r="I24" i="1"/>
  <c r="H24" i="1"/>
  <c r="F24" i="1"/>
  <c r="L24" i="1"/>
  <c r="J24" i="1"/>
  <c r="K24" i="1"/>
  <c r="F25" i="1"/>
  <c r="H25" i="1"/>
  <c r="D27" i="1"/>
  <c r="B26" i="1"/>
  <c r="G26" i="1"/>
  <c r="I26" i="1"/>
  <c r="H26" i="1"/>
  <c r="F26" i="1"/>
  <c r="D28" i="1"/>
  <c r="D29" i="1"/>
  <c r="D30" i="1"/>
  <c r="B27" i="1"/>
  <c r="G27" i="1"/>
  <c r="D31" i="1"/>
  <c r="B30" i="1"/>
  <c r="G30" i="1"/>
  <c r="H27" i="1"/>
  <c r="F27" i="1"/>
  <c r="I27" i="1"/>
  <c r="L26" i="1"/>
  <c r="J26" i="1"/>
  <c r="K26" i="1"/>
  <c r="H30" i="1"/>
  <c r="I30" i="1"/>
  <c r="F30" i="1"/>
  <c r="L27" i="1"/>
  <c r="J27" i="1"/>
  <c r="K27" i="1"/>
  <c r="D32" i="1"/>
  <c r="B31" i="1"/>
  <c r="G31" i="1"/>
  <c r="D33" i="1"/>
  <c r="B32" i="1"/>
  <c r="G32" i="1"/>
  <c r="L30" i="1"/>
  <c r="J30" i="1"/>
  <c r="K30" i="1"/>
  <c r="F31" i="1"/>
  <c r="I31" i="1"/>
  <c r="H31" i="1"/>
  <c r="J31" i="1"/>
  <c r="K31" i="1"/>
  <c r="L31" i="1"/>
  <c r="I32" i="1"/>
  <c r="H32" i="1"/>
  <c r="F32" i="1"/>
  <c r="D34" i="1"/>
  <c r="B33" i="1"/>
  <c r="G33" i="1"/>
  <c r="J32" i="1"/>
  <c r="K32" i="1"/>
  <c r="L32" i="1"/>
  <c r="B34" i="1"/>
  <c r="G34" i="1"/>
  <c r="D35" i="1"/>
  <c r="I33" i="1"/>
  <c r="F33" i="1"/>
  <c r="H33" i="1"/>
  <c r="F34" i="1"/>
  <c r="I34" i="1"/>
  <c r="H34" i="1"/>
  <c r="J33" i="1"/>
  <c r="K33" i="1"/>
  <c r="L33" i="1"/>
  <c r="D36" i="1"/>
  <c r="D37" i="1"/>
  <c r="D38" i="1"/>
  <c r="B35" i="1"/>
  <c r="G35" i="1"/>
  <c r="F35" i="1"/>
  <c r="H35" i="1"/>
  <c r="B38" i="1"/>
  <c r="G38" i="1"/>
  <c r="D39" i="1"/>
  <c r="J34" i="1"/>
  <c r="K34" i="1"/>
  <c r="L34" i="1"/>
  <c r="B39" i="1"/>
  <c r="G39" i="1"/>
  <c r="D40" i="1"/>
  <c r="F38" i="1"/>
  <c r="I38" i="1"/>
  <c r="H38" i="1"/>
  <c r="J38" i="1"/>
  <c r="K38" i="1"/>
  <c r="L38" i="1"/>
  <c r="D41" i="1"/>
  <c r="B40" i="1"/>
  <c r="G40" i="1"/>
  <c r="H39" i="1"/>
  <c r="F39" i="1"/>
  <c r="I39" i="1"/>
  <c r="L39" i="1"/>
  <c r="J39" i="1"/>
  <c r="K39" i="1"/>
  <c r="D42" i="1"/>
  <c r="B41" i="1"/>
  <c r="G41" i="1"/>
  <c r="I40" i="1"/>
  <c r="F40" i="1"/>
  <c r="H40" i="1"/>
  <c r="L40" i="1"/>
  <c r="J40" i="1"/>
  <c r="K40" i="1"/>
  <c r="D43" i="1"/>
  <c r="B42" i="1"/>
  <c r="G42" i="1"/>
  <c r="F41" i="1"/>
  <c r="I41" i="1"/>
  <c r="H41" i="1"/>
  <c r="L41" i="1"/>
  <c r="J41" i="1"/>
  <c r="K41" i="1"/>
  <c r="D44" i="1"/>
  <c r="D45" i="1"/>
  <c r="D46" i="1"/>
  <c r="B43" i="1"/>
  <c r="G43" i="1"/>
  <c r="H42" i="1"/>
  <c r="F42" i="1"/>
  <c r="I42" i="1"/>
  <c r="L42" i="1"/>
  <c r="J42" i="1"/>
  <c r="K42" i="1"/>
  <c r="B46" i="1"/>
  <c r="G46" i="1"/>
  <c r="D47" i="1"/>
  <c r="H43" i="1"/>
  <c r="I43" i="1"/>
  <c r="F43" i="1"/>
  <c r="F46" i="1"/>
  <c r="I46" i="1"/>
  <c r="H46" i="1"/>
  <c r="L43" i="1"/>
  <c r="J43" i="1"/>
  <c r="K43" i="1"/>
  <c r="B47" i="1"/>
  <c r="G47" i="1"/>
  <c r="D48" i="1"/>
  <c r="H47" i="1"/>
  <c r="F47" i="1"/>
  <c r="I47" i="1"/>
  <c r="D49" i="1"/>
  <c r="B48" i="1"/>
  <c r="G48" i="1"/>
  <c r="J46" i="1"/>
  <c r="L46" i="1"/>
  <c r="K46" i="1"/>
  <c r="L47" i="1"/>
  <c r="J47" i="1"/>
  <c r="K47" i="1"/>
  <c r="D50" i="1"/>
  <c r="B49" i="1"/>
  <c r="G49" i="1"/>
  <c r="I48" i="1"/>
  <c r="H48" i="1"/>
  <c r="F48" i="1"/>
  <c r="L48" i="1"/>
  <c r="J48" i="1"/>
  <c r="K48" i="1"/>
  <c r="D51" i="1"/>
  <c r="B50" i="1"/>
  <c r="G50" i="1"/>
  <c r="F49" i="1"/>
  <c r="H49" i="1"/>
  <c r="D52" i="1"/>
  <c r="D53" i="1"/>
  <c r="D54" i="1"/>
  <c r="B51" i="1"/>
  <c r="G51" i="1"/>
  <c r="I50" i="1"/>
  <c r="H50" i="1"/>
  <c r="F50" i="1"/>
  <c r="L50" i="1"/>
  <c r="J50" i="1"/>
  <c r="K50" i="1"/>
  <c r="I51" i="1"/>
  <c r="H51" i="1"/>
  <c r="F51" i="1"/>
  <c r="D55" i="1"/>
  <c r="B54" i="1"/>
  <c r="G54" i="1"/>
  <c r="L51" i="1"/>
  <c r="J51" i="1"/>
  <c r="K51" i="1"/>
  <c r="B55" i="1"/>
  <c r="G55" i="1"/>
  <c r="D56" i="1"/>
  <c r="H54" i="1"/>
  <c r="F54" i="1"/>
  <c r="H55" i="1"/>
  <c r="F55" i="1"/>
  <c r="I55" i="1"/>
  <c r="D57" i="1"/>
  <c r="B56" i="1"/>
  <c r="G56" i="1"/>
  <c r="D58" i="1"/>
  <c r="B57" i="1"/>
  <c r="G57" i="1"/>
  <c r="L55" i="1"/>
  <c r="K55" i="1"/>
  <c r="J55" i="1"/>
  <c r="I56" i="1"/>
  <c r="H56" i="1"/>
  <c r="F56" i="1"/>
  <c r="F57" i="1"/>
  <c r="H57" i="1"/>
  <c r="L56" i="1"/>
  <c r="K56" i="1"/>
  <c r="J56" i="1"/>
  <c r="D59" i="1"/>
  <c r="B58" i="1"/>
  <c r="G58" i="1"/>
  <c r="I58" i="1"/>
  <c r="H58" i="1"/>
  <c r="F58" i="1"/>
  <c r="B59" i="1"/>
  <c r="G59" i="1"/>
  <c r="D60" i="1"/>
  <c r="D61" i="1"/>
  <c r="D62" i="1"/>
  <c r="H59" i="1"/>
  <c r="F59" i="1"/>
  <c r="D63" i="1"/>
  <c r="B62" i="1"/>
  <c r="G62" i="1"/>
  <c r="L58" i="1"/>
  <c r="J58" i="1"/>
  <c r="K58" i="1"/>
  <c r="B63" i="1"/>
  <c r="G63" i="1"/>
  <c r="D64" i="1"/>
  <c r="F62" i="1"/>
  <c r="I62" i="1"/>
  <c r="H62" i="1"/>
  <c r="J62" i="1"/>
  <c r="K62" i="1"/>
  <c r="L62" i="1"/>
  <c r="D65" i="1"/>
  <c r="B64" i="1"/>
  <c r="G64" i="1"/>
  <c r="I63" i="1"/>
  <c r="H63" i="1"/>
  <c r="F63" i="1"/>
  <c r="B65" i="1"/>
  <c r="G65" i="1"/>
  <c r="D66" i="1"/>
  <c r="L63" i="1"/>
  <c r="K63" i="1"/>
  <c r="J63" i="1"/>
  <c r="F64" i="1"/>
  <c r="I64" i="1"/>
  <c r="H64" i="1"/>
  <c r="J64" i="1"/>
  <c r="K64" i="1"/>
  <c r="L64" i="1"/>
  <c r="D67" i="1"/>
  <c r="B67" i="1"/>
  <c r="G67" i="1"/>
  <c r="B66" i="1"/>
  <c r="G66" i="1"/>
  <c r="H65" i="1"/>
  <c r="F65" i="1"/>
  <c r="F67" i="1"/>
  <c r="I67" i="1"/>
  <c r="H67" i="1"/>
  <c r="F66" i="1"/>
  <c r="I66" i="1"/>
  <c r="H66" i="1"/>
  <c r="J67" i="1"/>
  <c r="K67" i="1"/>
  <c r="L67" i="1"/>
  <c r="J66" i="1"/>
  <c r="L66" i="1"/>
  <c r="K66" i="1"/>
</calcChain>
</file>

<file path=xl/sharedStrings.xml><?xml version="1.0" encoding="utf-8"?>
<sst xmlns="http://schemas.openxmlformats.org/spreadsheetml/2006/main" count="121" uniqueCount="20">
  <si>
    <t>α/α</t>
  </si>
  <si>
    <t>ByeOrder</t>
  </si>
  <si>
    <t>ByeSum</t>
  </si>
  <si>
    <t>ByeCnt</t>
  </si>
  <si>
    <t>από</t>
  </si>
  <si>
    <t>seed</t>
  </si>
  <si>
    <t>Pts</t>
  </si>
  <si>
    <t>Α.Μ.</t>
  </si>
  <si>
    <t>Ονοματεπώνυμο</t>
  </si>
  <si>
    <t>επώνυμο</t>
  </si>
  <si>
    <t xml:space="preserve"> </t>
  </si>
  <si>
    <t>seeded players</t>
  </si>
  <si>
    <t>επιδιαιτητής</t>
  </si>
  <si>
    <t>BoldPlayers</t>
  </si>
  <si>
    <t>p1</t>
  </si>
  <si>
    <t>p2</t>
  </si>
  <si>
    <t>p3</t>
  </si>
  <si>
    <t>p4-5</t>
  </si>
  <si>
    <t>q</t>
  </si>
  <si>
    <t>2 &amp; w</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</si>
</sst>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
      <name val="Arial"/>
      <family val="2"/>
      <charset val="161"/>
    </font>
    <font>
      <b/>
      <u/>
      <sz val="14"/>
      <name val="Tahoma"/>
      <family val="2"/>
      <charset val="161"/>
    </font>
    <font>
      <b/>
      <sz val="14"/>
      <name val="Tahoma"/>
      <family val="2"/>
      <charset val="161"/>
    </font>
    <font>
      <sz val="8"/>
      <name val="Tahoma"/>
      <family val="2"/>
      <charset val="161"/>
    </font>
    <font>
      <sz val="8"/>
      <color indexed="55"/>
      <name val="Tahoma"/>
      <family val="2"/>
      <charset val="161"/>
    </font>
    <font>
      <sz val="8"/>
      <color theme="0" tint="-0.499984740745262"/>
      <name val="Tahoma"/>
      <family val="2"/>
      <charset val="161"/>
    </font>
    <font>
      <sz val="6"/>
      <name val="Tahoma"/>
      <family val="2"/>
      <charset val="161"/>
    </font>
    <font>
      <u/>
      <sz val="8"/>
      <name val="Tahoma"/>
      <family val="2"/>
      <charset val="161"/>
    </font>
    <font>
      <u/>
      <sz val="6"/>
      <color indexed="55"/>
      <name val="Tahoma"/>
      <family val="2"/>
      <charset val="161"/>
    </font>
    <font>
      <u/>
      <sz val="8"/>
      <color indexed="55"/>
      <name val="Tahoma"/>
      <family val="2"/>
      <charset val="161"/>
    </font>
    <font>
      <b/>
      <sz val="6"/>
      <color indexed="12"/>
      <name val="Tahoma"/>
      <family val="2"/>
      <charset val="161"/>
    </font>
    <font>
      <b/>
      <sz val="6"/>
      <name val="Tahoma"/>
      <family val="2"/>
      <charset val="161"/>
    </font>
    <font>
      <b/>
      <sz val="8"/>
      <color indexed="12"/>
      <name val="Tahoma"/>
      <family val="2"/>
      <charset val="161"/>
    </font>
    <font>
      <sz val="6"/>
      <color indexed="55"/>
      <name val="Tahoma"/>
      <family val="2"/>
      <charset val="161"/>
    </font>
    <font>
      <sz val="7"/>
      <name val="Tahoma"/>
      <family val="2"/>
      <charset val="161"/>
    </font>
    <font>
      <b/>
      <sz val="8"/>
      <name val="Tahoma"/>
      <family val="2"/>
      <charset val="161"/>
    </font>
    <font>
      <b/>
      <sz val="9"/>
      <name val="Tahoma"/>
      <family val="2"/>
      <charset val="161"/>
    </font>
    <font>
      <sz val="9"/>
      <name val="Tahoma"/>
      <family val="2"/>
      <charset val="161"/>
    </font>
    <font>
      <i/>
      <sz val="8"/>
      <color indexed="55"/>
      <name val="Tahoma"/>
      <family val="2"/>
      <charset val="161"/>
    </font>
    <font>
      <b/>
      <i/>
      <u/>
      <sz val="7"/>
      <name val="Tahoma"/>
      <family val="2"/>
      <charset val="161"/>
    </font>
    <font>
      <b/>
      <i/>
      <u/>
      <sz val="7"/>
      <color theme="0" tint="-0.499984740745262"/>
      <name val="Tahoma"/>
      <family val="2"/>
      <charset val="161"/>
    </font>
    <font>
      <i/>
      <sz val="7"/>
      <color theme="0" tint="-0.499984740745262"/>
      <name val="Tahoma"/>
      <family val="2"/>
      <charset val="161"/>
    </font>
    <font>
      <b/>
      <u/>
      <sz val="13"/>
      <name val="Arial"/>
      <family val="2"/>
      <charset val="161"/>
    </font>
    <font>
      <b/>
      <sz val="13"/>
      <name val="Arial"/>
      <family val="2"/>
      <charset val="161"/>
    </font>
    <font>
      <sz val="13"/>
      <name val="Arial"/>
      <family val="2"/>
      <charset val="161"/>
    </font>
    <font>
      <sz val="8"/>
      <color indexed="55"/>
      <name val="Arial"/>
      <family val="2"/>
      <charset val="161"/>
    </font>
    <font>
      <sz val="8"/>
      <name val="Arial"/>
      <family val="2"/>
      <charset val="161"/>
    </font>
    <font>
      <sz val="8"/>
      <color theme="0" tint="-0.499984740745262"/>
      <name val="Arial"/>
      <family val="2"/>
      <charset val="161"/>
    </font>
    <font>
      <sz val="6"/>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6"/>
      <color indexed="55"/>
      <name val="Arial"/>
      <family val="2"/>
      <charset val="161"/>
    </font>
    <font>
      <sz val="7"/>
      <name val="Arial"/>
      <family val="2"/>
      <charset val="161"/>
    </font>
    <font>
      <b/>
      <sz val="8"/>
      <name val="Arial"/>
      <family val="2"/>
      <charset val="161"/>
    </font>
    <font>
      <b/>
      <sz val="9"/>
      <name val="Arial"/>
      <family val="2"/>
      <charset val="161"/>
    </font>
    <font>
      <sz val="9"/>
      <name val="Arial"/>
      <family val="2"/>
      <charset val="161"/>
    </font>
    <font>
      <i/>
      <sz val="7"/>
      <name val="Arial"/>
      <family val="2"/>
      <charset val="161"/>
    </font>
    <font>
      <b/>
      <i/>
      <u/>
      <sz val="7"/>
      <name val="Arial"/>
      <family val="2"/>
      <charset val="161"/>
    </font>
    <font>
      <b/>
      <i/>
      <sz val="7"/>
      <name val="Arial"/>
      <family val="2"/>
      <charset val="161"/>
    </font>
    <font>
      <i/>
      <sz val="7"/>
      <color indexed="55"/>
      <name val="Arial"/>
      <family val="2"/>
      <charset val="161"/>
    </font>
    <font>
      <b/>
      <i/>
      <u/>
      <sz val="7"/>
      <color indexed="18"/>
      <name val="Arial"/>
      <family val="2"/>
      <charset val="161"/>
    </font>
    <font>
      <i/>
      <u/>
      <sz val="7"/>
      <name val="Arial"/>
      <family val="2"/>
      <charset val="161"/>
    </font>
    <font>
      <sz val="8"/>
      <color theme="0" tint="-4.9989318521683403E-2"/>
      <name val="Arial"/>
      <family val="2"/>
      <charset val="161"/>
    </font>
    <font>
      <b/>
      <i/>
      <u/>
      <sz val="7"/>
      <color theme="0" tint="-4.9989318521683403E-2"/>
      <name val="Arial"/>
      <family val="2"/>
      <charset val="161"/>
    </font>
    <font>
      <i/>
      <sz val="7"/>
      <color theme="0" tint="-4.9989318521683403E-2"/>
      <name val="Arial"/>
      <family val="2"/>
      <charset val="161"/>
    </font>
    <font>
      <sz val="9"/>
      <color theme="0" tint="-4.9989318521683403E-2"/>
      <name val="Arial"/>
      <family val="2"/>
      <charset val="161"/>
    </font>
    <font>
      <sz val="9"/>
      <color indexed="55"/>
      <name val="Arial"/>
      <family val="2"/>
      <charset val="161"/>
    </font>
    <font>
      <b/>
      <u/>
      <sz val="14"/>
      <name val="Arial"/>
      <family val="2"/>
      <charset val="161"/>
    </font>
    <font>
      <b/>
      <sz val="7"/>
      <name val="Arial"/>
      <family val="2"/>
      <charset val="161"/>
    </font>
    <font>
      <b/>
      <sz val="12"/>
      <color rgb="FFFF0000"/>
      <name val="Arial"/>
      <family val="2"/>
      <charset val="161"/>
    </font>
  </fonts>
  <fills count="13">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15"/>
        <bgColor indexed="64"/>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45"/>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57">
    <xf numFmtId="0" fontId="0" fillId="0" borderId="0" xfId="0"/>
    <xf numFmtId="0" fontId="1"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protection locked="0"/>
    </xf>
    <xf numFmtId="0" fontId="4" fillId="3"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left" vertical="center"/>
      <protection locked="0"/>
    </xf>
    <xf numFmtId="0" fontId="7"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center" vertical="center"/>
      <protection locked="0"/>
    </xf>
    <xf numFmtId="0" fontId="3" fillId="4" borderId="0" xfId="0" applyNumberFormat="1" applyFont="1" applyFill="1" applyAlignment="1" applyProtection="1">
      <alignment horizontal="center" vertical="center"/>
      <protection locked="0"/>
    </xf>
    <xf numFmtId="0" fontId="11" fillId="4"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13" fillId="3"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4" fillId="0" borderId="4"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left" vertical="center"/>
      <protection locked="0"/>
    </xf>
    <xf numFmtId="0"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xf>
    <xf numFmtId="0" fontId="17" fillId="8" borderId="1" xfId="0" applyNumberFormat="1" applyFont="1" applyFill="1" applyBorder="1" applyAlignment="1" applyProtection="1">
      <alignment horizontal="left" vertical="center"/>
    </xf>
    <xf numFmtId="0" fontId="3" fillId="8" borderId="1" xfId="0" applyNumberFormat="1" applyFont="1" applyFill="1" applyBorder="1" applyAlignment="1" applyProtection="1">
      <alignment horizontal="left" vertical="center"/>
    </xf>
    <xf numFmtId="0" fontId="3" fillId="8" borderId="2" xfId="0" applyNumberFormat="1" applyFont="1" applyFill="1" applyBorder="1" applyAlignment="1" applyProtection="1">
      <alignment horizontal="left" vertical="center"/>
    </xf>
    <xf numFmtId="0" fontId="14" fillId="8" borderId="4" xfId="0" applyNumberFormat="1" applyFont="1" applyFill="1" applyBorder="1" applyAlignment="1" applyProtection="1">
      <alignment horizontal="center" vertical="center"/>
    </xf>
    <xf numFmtId="0" fontId="3" fillId="8" borderId="4" xfId="0" applyNumberFormat="1" applyFont="1" applyFill="1" applyBorder="1" applyAlignment="1" applyProtection="1">
      <alignment horizontal="center" vertical="center"/>
      <protection locked="0"/>
    </xf>
    <xf numFmtId="0" fontId="3" fillId="8" borderId="4" xfId="0" applyNumberFormat="1" applyFont="1" applyFill="1" applyBorder="1" applyAlignment="1" applyProtection="1">
      <alignment horizontal="center" vertical="center"/>
    </xf>
    <xf numFmtId="0" fontId="17" fillId="8" borderId="4" xfId="0" applyNumberFormat="1" applyFont="1" applyFill="1" applyBorder="1" applyAlignment="1" applyProtection="1">
      <alignment horizontal="left" vertical="center"/>
    </xf>
    <xf numFmtId="0" fontId="3" fillId="8" borderId="4" xfId="0" applyNumberFormat="1" applyFont="1" applyFill="1" applyBorder="1" applyAlignment="1" applyProtection="1">
      <alignment horizontal="left" vertical="center"/>
    </xf>
    <xf numFmtId="0" fontId="3" fillId="8" borderId="5"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left" vertical="center"/>
      <protection locked="0"/>
    </xf>
    <xf numFmtId="0" fontId="13" fillId="3" borderId="4"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13" fillId="3"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horizontal="left" vertical="center"/>
      <protection locked="0"/>
    </xf>
    <xf numFmtId="0" fontId="3" fillId="6" borderId="0" xfId="0" quotePrefix="1" applyFont="1" applyFill="1" applyBorder="1" applyAlignment="1" applyProtection="1">
      <alignment horizontal="center" vertical="center"/>
      <protection locked="0"/>
    </xf>
    <xf numFmtId="0" fontId="15" fillId="5" borderId="0" xfId="0" quotePrefix="1" applyFont="1" applyFill="1" applyBorder="1" applyAlignment="1" applyProtection="1">
      <alignment horizontal="center" vertical="center"/>
      <protection locked="0"/>
    </xf>
    <xf numFmtId="0" fontId="15" fillId="8" borderId="4" xfId="0" applyNumberFormat="1" applyFont="1" applyFill="1" applyBorder="1" applyAlignment="1" applyProtection="1">
      <alignment horizontal="center" vertical="center"/>
      <protection locked="0"/>
    </xf>
    <xf numFmtId="0" fontId="15" fillId="8" borderId="4" xfId="0" applyNumberFormat="1" applyFont="1" applyFill="1" applyBorder="1" applyAlignment="1" applyProtection="1">
      <alignment horizontal="center" vertical="center"/>
    </xf>
    <xf numFmtId="0" fontId="16" fillId="8" borderId="4" xfId="0" applyNumberFormat="1" applyFont="1" applyFill="1" applyBorder="1" applyAlignment="1" applyProtection="1">
      <alignment horizontal="left" vertical="center"/>
    </xf>
    <xf numFmtId="0" fontId="15" fillId="8" borderId="4" xfId="0" applyNumberFormat="1" applyFont="1" applyFill="1" applyBorder="1" applyAlignment="1" applyProtection="1">
      <alignment horizontal="left" vertical="center"/>
    </xf>
    <xf numFmtId="0" fontId="15" fillId="8" borderId="5" xfId="0" applyNumberFormat="1" applyFont="1" applyFill="1" applyBorder="1" applyAlignment="1" applyProtection="1">
      <alignment horizontal="left" vertical="center"/>
    </xf>
    <xf numFmtId="0" fontId="4"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left" vertical="center"/>
      <protection locked="0"/>
    </xf>
    <xf numFmtId="0" fontId="14" fillId="8" borderId="0" xfId="0" applyNumberFormat="1" applyFont="1" applyFill="1" applyBorder="1" applyAlignment="1" applyProtection="1">
      <alignment horizontal="center" vertical="center"/>
    </xf>
    <xf numFmtId="0" fontId="3" fillId="8" borderId="0" xfId="0" applyNumberFormat="1" applyFont="1" applyFill="1" applyBorder="1" applyAlignment="1" applyProtection="1">
      <alignment horizontal="center" vertical="center"/>
      <protection locked="0"/>
    </xf>
    <xf numFmtId="0" fontId="3" fillId="8" borderId="0" xfId="0" applyNumberFormat="1" applyFont="1" applyFill="1" applyBorder="1" applyAlignment="1" applyProtection="1">
      <alignment horizontal="center" vertical="center"/>
    </xf>
    <xf numFmtId="0" fontId="17" fillId="8" borderId="0" xfId="0" applyNumberFormat="1" applyFont="1" applyFill="1" applyBorder="1" applyAlignment="1" applyProtection="1">
      <alignment horizontal="left" vertical="center"/>
    </xf>
    <xf numFmtId="0" fontId="3" fillId="8" borderId="0" xfId="0" applyNumberFormat="1" applyFont="1" applyFill="1" applyBorder="1" applyAlignment="1" applyProtection="1">
      <alignment horizontal="left" vertical="center"/>
    </xf>
    <xf numFmtId="0" fontId="3" fillId="8"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3" fillId="0" borderId="0" xfId="0" quotePrefix="1" applyNumberFormat="1" applyFont="1" applyFill="1" applyAlignment="1" applyProtection="1">
      <alignment horizontal="left" vertical="center"/>
      <protection locked="0"/>
    </xf>
    <xf numFmtId="0" fontId="14" fillId="0" borderId="0" xfId="0" applyNumberFormat="1" applyFont="1" applyFill="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1" fillId="0" borderId="0" xfId="0" quotePrefix="1" applyNumberFormat="1" applyFont="1" applyFill="1" applyBorder="1" applyAlignment="1" applyProtection="1">
      <alignment horizontal="left" vertical="center"/>
      <protection locked="0"/>
    </xf>
    <xf numFmtId="0" fontId="17" fillId="0" borderId="0" xfId="0" applyFont="1" applyBorder="1" applyAlignment="1" applyProtection="1">
      <alignment vertical="center"/>
      <protection locked="0"/>
    </xf>
    <xf numFmtId="0" fontId="22" fillId="0" borderId="0" xfId="0" quotePrefix="1" applyNumberFormat="1" applyFont="1" applyFill="1" applyBorder="1" applyAlignment="1" applyProtection="1">
      <alignment vertical="center"/>
      <protection locked="0"/>
    </xf>
    <xf numFmtId="0" fontId="23" fillId="8"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NumberFormat="1" applyFont="1" applyFill="1" applyAlignment="1" applyProtection="1">
      <alignment vertical="center"/>
      <protection locked="0"/>
    </xf>
    <xf numFmtId="0" fontId="25" fillId="3"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left" vertical="center"/>
      <protection locked="0"/>
    </xf>
    <xf numFmtId="0" fontId="26" fillId="0" borderId="0" xfId="0" applyNumberFormat="1" applyFont="1" applyFill="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right" vertical="center"/>
      <protection locked="0"/>
    </xf>
    <xf numFmtId="0" fontId="26" fillId="0" borderId="0" xfId="0" applyNumberFormat="1" applyFont="1" applyFill="1" applyAlignment="1" applyProtection="1">
      <alignment horizontal="center" vertical="center"/>
      <protection locked="0"/>
    </xf>
    <xf numFmtId="0" fontId="26" fillId="0" borderId="0" xfId="0" applyNumberFormat="1" applyFont="1" applyFill="1" applyAlignment="1" applyProtection="1">
      <alignment horizontal="left" vertical="center"/>
      <protection locked="0"/>
    </xf>
    <xf numFmtId="0" fontId="28" fillId="0" borderId="0" xfId="0" applyNumberFormat="1" applyFont="1" applyFill="1" applyAlignment="1" applyProtection="1">
      <alignment horizontal="left"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26" fillId="4" borderId="0" xfId="0" applyNumberFormat="1" applyFont="1" applyFill="1" applyAlignment="1" applyProtection="1">
      <alignment horizontal="center" vertical="center"/>
      <protection locked="0"/>
    </xf>
    <xf numFmtId="0" fontId="33" fillId="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25"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36" fillId="0" borderId="1"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4"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left" vertical="center"/>
    </xf>
    <xf numFmtId="0" fontId="37" fillId="0" borderId="2" xfId="0" applyNumberFormat="1" applyFont="1" applyFill="1" applyBorder="1" applyAlignment="1" applyProtection="1">
      <alignment horizontal="left" vertical="center"/>
    </xf>
    <xf numFmtId="0" fontId="35" fillId="3"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left" vertical="center"/>
      <protection locked="0"/>
    </xf>
    <xf numFmtId="0" fontId="25" fillId="0" borderId="0" xfId="0" applyNumberFormat="1" applyFont="1" applyFill="1" applyAlignment="1" applyProtection="1">
      <alignment vertical="center"/>
      <protection locked="0"/>
    </xf>
    <xf numFmtId="0" fontId="36" fillId="0" borderId="4" xfId="0" applyNumberFormat="1"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protection locked="0"/>
    </xf>
    <xf numFmtId="0" fontId="36" fillId="7" borderId="0" xfId="0" applyFont="1" applyFill="1" applyBorder="1" applyAlignment="1" applyProtection="1">
      <alignment horizontal="left" vertical="center"/>
      <protection locked="0"/>
    </xf>
    <xf numFmtId="0" fontId="26" fillId="0" borderId="4"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xf>
    <xf numFmtId="0" fontId="39" fillId="0" borderId="4"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35" fillId="0" borderId="6"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left" vertical="center"/>
      <protection locked="0"/>
    </xf>
    <xf numFmtId="0" fontId="36" fillId="8" borderId="1" xfId="0" applyNumberFormat="1"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26" fillId="8" borderId="1" xfId="0" applyNumberFormat="1" applyFont="1" applyFill="1" applyBorder="1" applyAlignment="1" applyProtection="1">
      <alignment horizontal="center" vertical="center"/>
      <protection locked="0"/>
    </xf>
    <xf numFmtId="0" fontId="26" fillId="8" borderId="1" xfId="0" applyNumberFormat="1" applyFont="1" applyFill="1" applyBorder="1" applyAlignment="1" applyProtection="1">
      <alignment horizontal="center" vertical="center"/>
    </xf>
    <xf numFmtId="0" fontId="39" fillId="8" borderId="1" xfId="0" applyNumberFormat="1" applyFont="1" applyFill="1" applyBorder="1" applyAlignment="1" applyProtection="1">
      <alignment horizontal="left" vertical="center"/>
    </xf>
    <xf numFmtId="0" fontId="26" fillId="8" borderId="2" xfId="0" applyNumberFormat="1" applyFont="1" applyFill="1" applyBorder="1" applyAlignment="1" applyProtection="1">
      <alignment horizontal="left" vertical="center"/>
    </xf>
    <xf numFmtId="0" fontId="3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xf>
    <xf numFmtId="0" fontId="39" fillId="8" borderId="4" xfId="0" applyNumberFormat="1" applyFont="1" applyFill="1" applyBorder="1" applyAlignment="1" applyProtection="1">
      <alignment horizontal="left" vertical="center"/>
    </xf>
    <xf numFmtId="0" fontId="26" fillId="8" borderId="5"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protection locked="0"/>
    </xf>
    <xf numFmtId="0" fontId="35" fillId="3" borderId="4" xfId="0" applyNumberFormat="1" applyFont="1" applyFill="1" applyBorder="1" applyAlignment="1" applyProtection="1">
      <alignment horizontal="center" vertical="center"/>
      <protection locked="0"/>
    </xf>
    <xf numFmtId="0" fontId="35" fillId="3" borderId="8"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protection locked="0"/>
    </xf>
    <xf numFmtId="0" fontId="36" fillId="7" borderId="0" xfId="0" quotePrefix="1" applyFont="1" applyFill="1" applyBorder="1" applyAlignment="1" applyProtection="1">
      <alignment horizontal="center" vertical="center"/>
      <protection locked="0"/>
    </xf>
    <xf numFmtId="0" fontId="25" fillId="0" borderId="8" xfId="0" applyNumberFormat="1" applyFont="1" applyFill="1" applyBorder="1" applyAlignment="1" applyProtection="1">
      <alignment vertical="center"/>
      <protection locked="0"/>
    </xf>
    <xf numFmtId="0" fontId="26"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left" vertical="center"/>
      <protection locked="0"/>
    </xf>
    <xf numFmtId="0" fontId="26" fillId="8" borderId="4" xfId="0" quotePrefix="1" applyNumberFormat="1" applyFont="1" applyFill="1" applyBorder="1" applyAlignment="1" applyProtection="1">
      <alignment horizontal="center" vertical="center"/>
      <protection locked="0"/>
    </xf>
    <xf numFmtId="0" fontId="26" fillId="10" borderId="5" xfId="0" quotePrefix="1"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26" fillId="10" borderId="7"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left" vertical="center"/>
    </xf>
    <xf numFmtId="0" fontId="37" fillId="8" borderId="4" xfId="0" applyNumberFormat="1" applyFont="1" applyFill="1" applyBorder="1" applyAlignment="1" applyProtection="1">
      <alignment horizontal="center" vertical="center"/>
    </xf>
    <xf numFmtId="0" fontId="38" fillId="8" borderId="4" xfId="0" applyNumberFormat="1" applyFont="1" applyFill="1" applyBorder="1" applyAlignment="1" applyProtection="1">
      <alignment horizontal="left" vertical="center"/>
    </xf>
    <xf numFmtId="0" fontId="35" fillId="0" borderId="8"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center" vertical="center"/>
    </xf>
    <xf numFmtId="0" fontId="37" fillId="8" borderId="4" xfId="0" applyNumberFormat="1" applyFont="1" applyFill="1" applyBorder="1" applyAlignment="1" applyProtection="1">
      <alignment horizontal="center" vertical="center"/>
      <protection locked="0"/>
    </xf>
    <xf numFmtId="0" fontId="37" fillId="8" borderId="5" xfId="0" applyNumberFormat="1" applyFont="1" applyFill="1" applyBorder="1" applyAlignment="1" applyProtection="1">
      <alignment horizontal="left" vertical="center"/>
    </xf>
    <xf numFmtId="0" fontId="35" fillId="0" borderId="0" xfId="0" applyNumberFormat="1" applyFont="1" applyFill="1" applyAlignment="1" applyProtection="1">
      <alignment horizontal="center" vertical="center"/>
      <protection locked="0"/>
    </xf>
    <xf numFmtId="0" fontId="26" fillId="0" borderId="0" xfId="0" quotePrefix="1" applyNumberFormat="1" applyFont="1" applyFill="1" applyAlignment="1" applyProtection="1">
      <alignment vertical="center"/>
      <protection locked="0"/>
    </xf>
    <xf numFmtId="0" fontId="37" fillId="0" borderId="0" xfId="0" quotePrefix="1"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vertical="center"/>
      <protection locked="0"/>
    </xf>
    <xf numFmtId="0" fontId="40" fillId="0" borderId="0" xfId="0" applyNumberFormat="1" applyFont="1" applyFill="1" applyAlignment="1" applyProtection="1">
      <alignment vertical="center"/>
      <protection locked="0"/>
    </xf>
    <xf numFmtId="0" fontId="40" fillId="0" borderId="0" xfId="0" applyNumberFormat="1" applyFont="1" applyFill="1" applyAlignment="1" applyProtection="1">
      <alignment horizontal="center" vertical="center"/>
      <protection locked="0"/>
    </xf>
    <xf numFmtId="0" fontId="40" fillId="0" borderId="0" xfId="0" applyNumberFormat="1" applyFont="1" applyFill="1" applyAlignment="1" applyProtection="1">
      <alignment horizontal="left" vertical="center"/>
      <protection locked="0"/>
    </xf>
    <xf numFmtId="0" fontId="41" fillId="0" borderId="0" xfId="0" applyNumberFormat="1" applyFont="1" applyFill="1" applyBorder="1" applyAlignment="1" applyProtection="1">
      <alignment horizontal="left" vertical="center"/>
      <protection locked="0"/>
    </xf>
    <xf numFmtId="0" fontId="42" fillId="0" borderId="0" xfId="0" applyNumberFormat="1" applyFont="1" applyFill="1" applyBorder="1" applyAlignment="1" applyProtection="1">
      <alignment horizontal="centerContinuous" vertical="center"/>
      <protection locked="0"/>
    </xf>
    <xf numFmtId="0" fontId="43" fillId="0" borderId="0" xfId="0" applyNumberFormat="1" applyFont="1" applyFill="1" applyBorder="1" applyAlignment="1" applyProtection="1">
      <alignment horizontal="center" vertical="center"/>
      <protection locked="0"/>
    </xf>
    <xf numFmtId="0" fontId="43" fillId="0" borderId="0" xfId="0" applyNumberFormat="1" applyFont="1" applyFill="1" applyAlignment="1" applyProtection="1">
      <alignment vertical="center"/>
      <protection locked="0"/>
    </xf>
    <xf numFmtId="0" fontId="40" fillId="0" borderId="0" xfId="0" applyNumberFormat="1" applyFont="1" applyFill="1" applyBorder="1" applyAlignment="1" applyProtection="1">
      <alignment vertical="center"/>
      <protection locked="0"/>
    </xf>
    <xf numFmtId="0" fontId="43" fillId="0" borderId="0" xfId="0" applyNumberFormat="1" applyFont="1" applyFill="1" applyBorder="1" applyAlignment="1" applyProtection="1">
      <alignment vertical="center"/>
      <protection locked="0"/>
    </xf>
    <xf numFmtId="0" fontId="40" fillId="0" borderId="0" xfId="0" quotePrefix="1" applyNumberFormat="1" applyFont="1" applyFill="1" applyBorder="1" applyAlignment="1" applyProtection="1">
      <alignment vertical="center"/>
      <protection locked="0"/>
    </xf>
    <xf numFmtId="0" fontId="44" fillId="0" borderId="0" xfId="0" applyNumberFormat="1" applyFont="1" applyFill="1" applyBorder="1" applyAlignment="1" applyProtection="1">
      <alignment vertical="center"/>
      <protection locked="0"/>
    </xf>
    <xf numFmtId="0" fontId="45" fillId="0" borderId="0" xfId="0" applyNumberFormat="1" applyFont="1" applyFill="1" applyBorder="1" applyAlignment="1" applyProtection="1">
      <alignment horizontal="left" vertical="center"/>
      <protection locked="0"/>
    </xf>
    <xf numFmtId="0" fontId="46" fillId="0" borderId="0" xfId="0" applyNumberFormat="1" applyFont="1" applyFill="1" applyAlignment="1" applyProtection="1">
      <alignment vertical="center"/>
      <protection locked="0"/>
    </xf>
    <xf numFmtId="0" fontId="47" fillId="0" borderId="0" xfId="0" applyNumberFormat="1" applyFont="1" applyFill="1" applyBorder="1" applyAlignment="1" applyProtection="1">
      <alignment horizontal="left" vertical="center"/>
    </xf>
    <xf numFmtId="0" fontId="48" fillId="0" borderId="0" xfId="0" quotePrefix="1" applyNumberFormat="1" applyFont="1" applyFill="1" applyBorder="1" applyAlignment="1" applyProtection="1">
      <alignment vertical="center"/>
    </xf>
    <xf numFmtId="0" fontId="49" fillId="0" borderId="0"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50"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left" vertical="center"/>
    </xf>
    <xf numFmtId="0" fontId="37" fillId="8" borderId="1" xfId="0" applyNumberFormat="1" applyFont="1" applyFill="1" applyBorder="1" applyAlignment="1" applyProtection="1">
      <alignment horizontal="center" vertical="center"/>
    </xf>
    <xf numFmtId="0" fontId="38" fillId="8" borderId="1" xfId="0" applyNumberFormat="1" applyFont="1" applyFill="1" applyBorder="1" applyAlignment="1" applyProtection="1">
      <alignment horizontal="left" vertical="center"/>
    </xf>
    <xf numFmtId="0" fontId="26" fillId="0" borderId="0" xfId="0" quotePrefix="1"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protection locked="0"/>
    </xf>
    <xf numFmtId="0" fontId="35" fillId="3"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28" fillId="0" borderId="0" xfId="0" applyNumberFormat="1" applyFont="1" applyFill="1" applyBorder="1" applyAlignment="1" applyProtection="1">
      <alignment vertical="center"/>
      <protection locked="0"/>
    </xf>
    <xf numFmtId="0" fontId="28" fillId="0" borderId="0" xfId="0" applyNumberFormat="1" applyFont="1" applyFill="1" applyAlignment="1" applyProtection="1">
      <alignment vertical="center"/>
      <protection locked="0"/>
    </xf>
    <xf numFmtId="0" fontId="28" fillId="0" borderId="0" xfId="0" applyNumberFormat="1"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4" borderId="1" xfId="0" applyFont="1" applyFill="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37"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horizontal="left" vertical="center"/>
      <protection locked="0"/>
    </xf>
    <xf numFmtId="0" fontId="37" fillId="0" borderId="2" xfId="0" quotePrefix="1" applyNumberFormat="1" applyFont="1" applyFill="1" applyBorder="1" applyAlignment="1" applyProtection="1">
      <alignment horizontal="left" vertical="center"/>
    </xf>
    <xf numFmtId="0" fontId="26" fillId="0" borderId="4"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4" borderId="4" xfId="0" applyFont="1" applyFill="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37" fillId="0" borderId="4" xfId="0" applyNumberFormat="1" applyFont="1" applyFill="1" applyBorder="1" applyAlignment="1" applyProtection="1">
      <alignment horizontal="center" vertical="center"/>
    </xf>
    <xf numFmtId="0" fontId="37" fillId="0" borderId="4" xfId="0" applyNumberFormat="1" applyFont="1" applyFill="1" applyBorder="1" applyAlignment="1" applyProtection="1">
      <alignment horizontal="left" vertical="center"/>
    </xf>
    <xf numFmtId="0" fontId="28" fillId="0" borderId="4" xfId="0" applyNumberFormat="1" applyFont="1" applyFill="1" applyBorder="1" applyAlignment="1" applyProtection="1">
      <alignment horizontal="left" vertical="center"/>
      <protection locked="0"/>
    </xf>
    <xf numFmtId="0" fontId="37" fillId="0" borderId="5" xfId="0" quotePrefix="1" applyNumberFormat="1" applyFont="1" applyFill="1" applyBorder="1" applyAlignment="1" applyProtection="1">
      <alignment horizontal="left" vertical="center"/>
    </xf>
    <xf numFmtId="0" fontId="26" fillId="9" borderId="1" xfId="0"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locked="0"/>
    </xf>
    <xf numFmtId="0" fontId="36" fillId="4" borderId="1" xfId="0" applyFont="1" applyFill="1" applyBorder="1" applyAlignment="1" applyProtection="1">
      <alignment horizontal="left" vertical="center"/>
      <protection locked="0"/>
    </xf>
    <xf numFmtId="0" fontId="36" fillId="7" borderId="1" xfId="0" applyFont="1" applyFill="1" applyBorder="1" applyAlignment="1" applyProtection="1">
      <alignment horizontal="left" vertical="center"/>
      <protection locked="0"/>
    </xf>
    <xf numFmtId="0" fontId="26" fillId="0" borderId="1" xfId="0" applyNumberFormat="1" applyFont="1" applyFill="1" applyBorder="1" applyAlignment="1" applyProtection="1">
      <alignment horizontal="left" vertical="center"/>
    </xf>
    <xf numFmtId="0" fontId="26" fillId="0" borderId="2" xfId="0" applyNumberFormat="1" applyFont="1" applyFill="1" applyBorder="1" applyAlignment="1" applyProtection="1">
      <alignment horizontal="left" vertical="center"/>
    </xf>
    <xf numFmtId="0" fontId="26" fillId="9" borderId="4"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left" vertical="center"/>
      <protection locked="0"/>
    </xf>
    <xf numFmtId="0" fontId="36" fillId="7" borderId="4" xfId="0" applyFont="1" applyFill="1" applyBorder="1" applyAlignment="1" applyProtection="1">
      <alignment horizontal="left" vertical="center"/>
      <protection locked="0"/>
    </xf>
    <xf numFmtId="0" fontId="2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left" vertical="center"/>
      <protection locked="0"/>
    </xf>
    <xf numFmtId="0" fontId="26" fillId="11" borderId="1" xfId="0" applyNumberFormat="1" applyFont="1" applyFill="1" applyBorder="1" applyAlignment="1" applyProtection="1">
      <alignment horizontal="center" vertical="center"/>
    </xf>
    <xf numFmtId="0" fontId="26" fillId="11" borderId="1" xfId="0" applyNumberFormat="1" applyFont="1" applyFill="1" applyBorder="1" applyAlignment="1" applyProtection="1">
      <alignment horizontal="left" vertical="center"/>
    </xf>
    <xf numFmtId="0" fontId="28" fillId="11" borderId="1" xfId="0" applyNumberFormat="1" applyFont="1" applyFill="1" applyBorder="1" applyAlignment="1" applyProtection="1">
      <alignment horizontal="left" vertical="center"/>
      <protection locked="0"/>
    </xf>
    <xf numFmtId="0" fontId="26" fillId="11" borderId="2" xfId="0" applyNumberFormat="1" applyFont="1" applyFill="1" applyBorder="1" applyAlignment="1" applyProtection="1">
      <alignment horizontal="left" vertical="center"/>
    </xf>
    <xf numFmtId="0" fontId="2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left" vertical="center"/>
      <protection locked="0"/>
    </xf>
    <xf numFmtId="0" fontId="26" fillId="11" borderId="4"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left" vertical="center"/>
    </xf>
    <xf numFmtId="0" fontId="28" fillId="11" borderId="4" xfId="0" applyNumberFormat="1" applyFont="1" applyFill="1" applyBorder="1" applyAlignment="1" applyProtection="1">
      <alignment horizontal="left" vertical="center"/>
      <protection locked="0"/>
    </xf>
    <xf numFmtId="0" fontId="26" fillId="11" borderId="5" xfId="0" applyNumberFormat="1" applyFont="1" applyFill="1" applyBorder="1" applyAlignment="1" applyProtection="1">
      <alignment horizontal="left" vertical="center"/>
    </xf>
    <xf numFmtId="0" fontId="36" fillId="0" borderId="1" xfId="0" applyFont="1" applyBorder="1" applyAlignment="1" applyProtection="1">
      <alignment horizontal="center" vertical="center"/>
      <protection locked="0"/>
    </xf>
    <xf numFmtId="0" fontId="36" fillId="0" borderId="1" xfId="0" applyFont="1" applyFill="1" applyBorder="1" applyAlignment="1" applyProtection="1">
      <alignment horizontal="left" vertical="center"/>
      <protection locked="0"/>
    </xf>
    <xf numFmtId="0" fontId="36" fillId="0" borderId="4" xfId="0" applyFont="1" applyBorder="1" applyAlignment="1" applyProtection="1">
      <alignment horizontal="center" vertical="center"/>
      <protection locked="0"/>
    </xf>
    <xf numFmtId="0" fontId="36" fillId="0" borderId="4" xfId="0" applyFont="1" applyFill="1" applyBorder="1" applyAlignment="1" applyProtection="1">
      <alignment horizontal="left" vertical="center"/>
      <protection locked="0"/>
    </xf>
    <xf numFmtId="0" fontId="37" fillId="11" borderId="1" xfId="0" applyNumberFormat="1" applyFont="1" applyFill="1" applyBorder="1" applyAlignment="1" applyProtection="1">
      <alignment horizontal="center" vertical="center"/>
    </xf>
    <xf numFmtId="0" fontId="37" fillId="11" borderId="1" xfId="0" applyNumberFormat="1" applyFont="1" applyFill="1" applyBorder="1" applyAlignment="1" applyProtection="1">
      <alignment horizontal="left" vertical="center"/>
    </xf>
    <xf numFmtId="0" fontId="37" fillId="11" borderId="2" xfId="0" applyNumberFormat="1" applyFont="1" applyFill="1" applyBorder="1" applyAlignment="1" applyProtection="1">
      <alignment horizontal="left" vertical="center"/>
    </xf>
    <xf numFmtId="0" fontId="37" fillId="11" borderId="4" xfId="0" applyNumberFormat="1" applyFont="1" applyFill="1" applyBorder="1" applyAlignment="1" applyProtection="1">
      <alignment horizontal="center" vertical="center"/>
    </xf>
    <xf numFmtId="0" fontId="37" fillId="11" borderId="4" xfId="0" applyNumberFormat="1" applyFont="1" applyFill="1" applyBorder="1" applyAlignment="1" applyProtection="1">
      <alignment horizontal="left" vertical="center"/>
    </xf>
    <xf numFmtId="0" fontId="37" fillId="11" borderId="5" xfId="0" applyNumberFormat="1" applyFont="1" applyFill="1" applyBorder="1" applyAlignment="1" applyProtection="1">
      <alignment horizontal="left" vertical="center"/>
    </xf>
    <xf numFmtId="0" fontId="26" fillId="12" borderId="1" xfId="0" applyFont="1" applyFill="1" applyBorder="1" applyAlignment="1" applyProtection="1">
      <alignment horizontal="center" vertical="center"/>
      <protection locked="0"/>
    </xf>
    <xf numFmtId="0" fontId="26" fillId="12" borderId="4" xfId="0" applyFont="1" applyFill="1" applyBorder="1" applyAlignment="1" applyProtection="1">
      <alignment horizontal="center" vertical="center"/>
      <protection locked="0"/>
    </xf>
    <xf numFmtId="0" fontId="37" fillId="0" borderId="5" xfId="0" applyNumberFormat="1" applyFont="1" applyFill="1" applyBorder="1" applyAlignment="1" applyProtection="1">
      <alignment horizontal="left" vertical="center"/>
    </xf>
    <xf numFmtId="0" fontId="36" fillId="12" borderId="4" xfId="0" applyFont="1" applyFill="1" applyBorder="1" applyAlignment="1" applyProtection="1">
      <alignment horizontal="center" vertical="center"/>
      <protection locked="0"/>
    </xf>
    <xf numFmtId="0" fontId="26" fillId="10" borderId="7"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center" vertical="center"/>
      <protection locked="0"/>
    </xf>
    <xf numFmtId="0" fontId="26" fillId="11" borderId="4" xfId="0" applyNumberFormat="1" applyFont="1" applyFill="1" applyBorder="1" applyAlignment="1" applyProtection="1">
      <alignment horizontal="left" vertical="center"/>
      <protection locked="0"/>
    </xf>
    <xf numFmtId="0" fontId="37" fillId="11" borderId="4" xfId="0" applyNumberFormat="1" applyFont="1" applyFill="1" applyBorder="1" applyAlignment="1" applyProtection="1">
      <alignment vertical="center"/>
    </xf>
    <xf numFmtId="0" fontId="28" fillId="11" borderId="4" xfId="0" applyNumberFormat="1" applyFont="1" applyFill="1" applyBorder="1" applyAlignment="1" applyProtection="1">
      <alignment vertical="center"/>
      <protection locked="0"/>
    </xf>
    <xf numFmtId="0" fontId="37" fillId="11" borderId="5" xfId="0" applyNumberFormat="1" applyFont="1" applyFill="1" applyBorder="1" applyAlignment="1" applyProtection="1">
      <alignment vertical="center"/>
    </xf>
    <xf numFmtId="0" fontId="26" fillId="10" borderId="5" xfId="0" applyNumberFormat="1" applyFont="1" applyFill="1" applyBorder="1" applyAlignment="1" applyProtection="1">
      <alignment horizontal="center" vertical="center"/>
    </xf>
    <xf numFmtId="0" fontId="26" fillId="10" borderId="2"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xf>
    <xf numFmtId="0" fontId="36" fillId="0" borderId="0" xfId="0" applyNumberFormat="1" applyFont="1" applyFill="1" applyAlignment="1" applyProtection="1">
      <alignment vertical="center"/>
      <protection locked="0"/>
    </xf>
    <xf numFmtId="0" fontId="26" fillId="11" borderId="4"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vertical="center"/>
      <protection locked="0"/>
    </xf>
    <xf numFmtId="0" fontId="28" fillId="4"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right" vertical="center"/>
      <protection locked="0"/>
    </xf>
    <xf numFmtId="0" fontId="23" fillId="11" borderId="0" xfId="0"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xf>
    <xf numFmtId="0" fontId="7" fillId="0" borderId="0" xfId="0" applyNumberFormat="1" applyFont="1" applyFill="1" applyAlignment="1" applyProtection="1">
      <alignment horizontal="center" vertical="center"/>
      <protection locked="0"/>
    </xf>
    <xf numFmtId="0" fontId="19" fillId="0" borderId="0" xfId="0" applyNumberFormat="1" applyFont="1" applyFill="1" applyBorder="1" applyAlignment="1" applyProtection="1">
      <alignment horizontal="left" vertical="center"/>
      <protection locked="0"/>
    </xf>
    <xf numFmtId="0" fontId="22" fillId="0" borderId="0" xfId="0" quotePrefix="1" applyNumberFormat="1" applyFont="1" applyFill="1" applyBorder="1" applyAlignment="1" applyProtection="1">
      <alignment horizontal="left"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36" fillId="0" borderId="6" xfId="0" applyNumberFormat="1" applyFont="1" applyFill="1" applyBorder="1" applyAlignment="1" applyProtection="1">
      <alignment horizontal="center" vertical="center"/>
    </xf>
    <xf numFmtId="0" fontId="36" fillId="0" borderId="3"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protection locked="0"/>
    </xf>
    <xf numFmtId="0" fontId="36" fillId="0" borderId="4" xfId="0"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horizontal="center" vertical="center"/>
    </xf>
    <xf numFmtId="0" fontId="36" fillId="11" borderId="3" xfId="0" applyNumberFormat="1" applyFont="1" applyFill="1" applyBorder="1" applyAlignment="1" applyProtection="1">
      <alignment horizontal="center" vertical="center"/>
    </xf>
    <xf numFmtId="0" fontId="36" fillId="11" borderId="1" xfId="0" applyNumberFormat="1" applyFont="1" applyFill="1" applyBorder="1" applyAlignment="1" applyProtection="1">
      <alignment horizontal="center" vertical="center"/>
      <protection locked="0"/>
    </xf>
    <xf numFmtId="0" fontId="36" fillId="11" borderId="4" xfId="0" applyNumberFormat="1" applyFont="1" applyFill="1" applyBorder="1" applyAlignment="1" applyProtection="1">
      <alignment horizontal="center" vertical="center"/>
      <protection locked="0"/>
    </xf>
    <xf numFmtId="0" fontId="51" fillId="0" borderId="0" xfId="0" applyNumberFormat="1" applyFont="1" applyBorder="1" applyAlignment="1" applyProtection="1">
      <alignment horizontal="left" vertical="center"/>
    </xf>
    <xf numFmtId="0" fontId="40" fillId="0" borderId="0" xfId="0" quotePrefix="1" applyNumberFormat="1" applyFont="1" applyFill="1" applyBorder="1" applyAlignment="1" applyProtection="1">
      <alignment horizontal="left" vertical="center"/>
      <protection locked="0"/>
    </xf>
    <xf numFmtId="0" fontId="52" fillId="11" borderId="1" xfId="0" applyNumberFormat="1" applyFont="1" applyFill="1" applyBorder="1" applyAlignment="1" applyProtection="1">
      <alignment horizontal="center" vertical="center"/>
      <protection locked="0"/>
    </xf>
    <xf numFmtId="0" fontId="52" fillId="11" borderId="4" xfId="0" applyNumberFormat="1" applyFont="1" applyFill="1" applyBorder="1" applyAlignment="1" applyProtection="1">
      <alignment horizontal="center" vertical="center"/>
      <protection locked="0"/>
    </xf>
    <xf numFmtId="0" fontId="52" fillId="0" borderId="1" xfId="0" applyNumberFormat="1" applyFont="1" applyFill="1" applyBorder="1" applyAlignment="1" applyProtection="1">
      <alignment horizontal="center" vertical="center"/>
      <protection locked="0"/>
    </xf>
    <xf numFmtId="0" fontId="52" fillId="0" borderId="4" xfId="0" applyNumberFormat="1" applyFont="1" applyFill="1" applyBorder="1" applyAlignment="1" applyProtection="1">
      <alignment horizontal="center" vertical="center"/>
      <protection locked="0"/>
    </xf>
    <xf numFmtId="0" fontId="23" fillId="11"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protection locked="0"/>
    </xf>
    <xf numFmtId="0" fontId="36" fillId="2" borderId="6" xfId="0" applyNumberFormat="1" applyFont="1" applyFill="1" applyBorder="1" applyAlignment="1" applyProtection="1">
      <alignment horizontal="center" vertical="center"/>
    </xf>
    <xf numFmtId="0" fontId="2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1" xfId="0" applyNumberFormat="1" applyFont="1" applyFill="1" applyBorder="1" applyAlignment="1" applyProtection="1">
      <alignment horizontal="center" vertical="center"/>
      <protection locked="0"/>
    </xf>
    <xf numFmtId="0" fontId="26" fillId="2" borderId="1" xfId="0" applyNumberFormat="1" applyFont="1" applyFill="1" applyBorder="1" applyAlignment="1" applyProtection="1">
      <alignment horizontal="center" vertical="center"/>
    </xf>
    <xf numFmtId="0" fontId="26" fillId="2" borderId="1" xfId="0" applyNumberFormat="1" applyFont="1" applyFill="1" applyBorder="1" applyAlignment="1" applyProtection="1">
      <alignment horizontal="left" vertical="center"/>
    </xf>
    <xf numFmtId="0" fontId="28" fillId="2" borderId="1" xfId="0" applyNumberFormat="1" applyFont="1" applyFill="1" applyBorder="1" applyAlignment="1" applyProtection="1">
      <alignment horizontal="left" vertical="center"/>
      <protection locked="0"/>
    </xf>
    <xf numFmtId="0" fontId="26" fillId="2" borderId="2" xfId="0" applyNumberFormat="1" applyFont="1" applyFill="1" applyBorder="1" applyAlignment="1" applyProtection="1">
      <alignment horizontal="left" vertical="center"/>
    </xf>
    <xf numFmtId="0" fontId="36" fillId="2" borderId="3" xfId="0" applyNumberFormat="1" applyFont="1" applyFill="1" applyBorder="1" applyAlignment="1" applyProtection="1">
      <alignment horizontal="center" vertical="center"/>
    </xf>
    <xf numFmtId="0" fontId="2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protection locked="0"/>
    </xf>
    <xf numFmtId="0" fontId="36" fillId="2" borderId="4"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center" vertical="center"/>
    </xf>
    <xf numFmtId="0" fontId="26" fillId="2" borderId="4" xfId="0" applyNumberFormat="1" applyFont="1" applyFill="1" applyBorder="1" applyAlignment="1" applyProtection="1">
      <alignment horizontal="left" vertical="center"/>
    </xf>
    <xf numFmtId="0" fontId="28" fillId="2" borderId="4" xfId="0" applyNumberFormat="1" applyFont="1" applyFill="1" applyBorder="1" applyAlignment="1" applyProtection="1">
      <alignment horizontal="left" vertical="center"/>
      <protection locked="0"/>
    </xf>
    <xf numFmtId="0" fontId="26" fillId="2" borderId="5" xfId="0" applyNumberFormat="1" applyFont="1" applyFill="1" applyBorder="1" applyAlignment="1" applyProtection="1">
      <alignment horizontal="left" vertical="center"/>
    </xf>
    <xf numFmtId="0" fontId="52" fillId="2"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horizontal="center" vertical="center"/>
    </xf>
    <xf numFmtId="0" fontId="37" fillId="2" borderId="1" xfId="0" applyNumberFormat="1" applyFont="1" applyFill="1" applyBorder="1" applyAlignment="1" applyProtection="1">
      <alignment horizontal="left" vertical="center"/>
    </xf>
    <xf numFmtId="0" fontId="37" fillId="2" borderId="2" xfId="0" applyNumberFormat="1" applyFont="1" applyFill="1" applyBorder="1" applyAlignment="1" applyProtection="1">
      <alignment horizontal="left" vertical="center"/>
    </xf>
    <xf numFmtId="0" fontId="52" fillId="2" borderId="4" xfId="0" applyNumberFormat="1" applyFont="1" applyFill="1" applyBorder="1" applyAlignment="1" applyProtection="1">
      <alignment horizontal="center" vertical="center"/>
      <protection locked="0"/>
    </xf>
    <xf numFmtId="0" fontId="37" fillId="2" borderId="4" xfId="0" applyNumberFormat="1" applyFont="1" applyFill="1" applyBorder="1" applyAlignment="1" applyProtection="1">
      <alignment horizontal="center" vertical="center"/>
    </xf>
    <xf numFmtId="0" fontId="37" fillId="2" borderId="4" xfId="0" applyNumberFormat="1" applyFont="1" applyFill="1" applyBorder="1" applyAlignment="1" applyProtection="1">
      <alignment horizontal="left" vertical="center"/>
    </xf>
    <xf numFmtId="0" fontId="37" fillId="2" borderId="5" xfId="0" applyNumberFormat="1" applyFont="1" applyFill="1" applyBorder="1" applyAlignment="1" applyProtection="1">
      <alignment horizontal="left" vertical="center"/>
    </xf>
    <xf numFmtId="0" fontId="26" fillId="2" borderId="4" xfId="0" applyNumberFormat="1" applyFont="1" applyFill="1" applyBorder="1" applyAlignment="1" applyProtection="1">
      <alignment vertical="center"/>
      <protection locked="0"/>
    </xf>
    <xf numFmtId="0" fontId="26" fillId="2" borderId="4"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left" vertical="center"/>
      <protection locked="0"/>
    </xf>
    <xf numFmtId="0" fontId="37" fillId="2" borderId="4" xfId="0" applyNumberFormat="1" applyFont="1" applyFill="1" applyBorder="1" applyAlignment="1" applyProtection="1">
      <alignment vertical="center"/>
    </xf>
    <xf numFmtId="0" fontId="28" fillId="2" borderId="4" xfId="0" applyNumberFormat="1" applyFont="1" applyFill="1" applyBorder="1" applyAlignment="1" applyProtection="1">
      <alignment vertical="center"/>
      <protection locked="0"/>
    </xf>
    <xf numFmtId="0" fontId="37" fillId="2" borderId="5" xfId="0" applyNumberFormat="1" applyFont="1" applyFill="1" applyBorder="1" applyAlignment="1" applyProtection="1">
      <alignment vertical="center"/>
    </xf>
  </cellXfs>
  <cellStyles count="1">
    <cellStyle name="Κανονικό" xfId="0" builtinId="0"/>
  </cellStyles>
  <dxfs count="7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266700</xdr:colOff>
          <xdr:row>4</xdr:row>
          <xdr:rowOff>0</xdr:rowOff>
        </xdr:from>
        <xdr:to>
          <xdr:col>22</xdr:col>
          <xdr:colOff>228600</xdr:colOff>
          <xdr:row>5</xdr:row>
          <xdr:rowOff>152400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19050</xdr:rowOff>
        </xdr:from>
        <xdr:to>
          <xdr:col>22</xdr:col>
          <xdr:colOff>219075</xdr:colOff>
          <xdr:row>3</xdr:row>
          <xdr:rowOff>95250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19050</xdr:rowOff>
        </xdr:from>
        <xdr:to>
          <xdr:col>22</xdr:col>
          <xdr:colOff>219075</xdr:colOff>
          <xdr:row>3</xdr:row>
          <xdr:rowOff>95250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19050</xdr:rowOff>
        </xdr:from>
        <xdr:to>
          <xdr:col>22</xdr:col>
          <xdr:colOff>219075</xdr:colOff>
          <xdr:row>3</xdr:row>
          <xdr:rowOff>95250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57150</xdr:colOff>
          <xdr:row>7</xdr:row>
          <xdr:rowOff>95250</xdr:rowOff>
        </xdr:from>
        <xdr:to>
          <xdr:col>19</xdr:col>
          <xdr:colOff>409575</xdr:colOff>
          <xdr:row>10</xdr:row>
          <xdr:rowOff>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95250</xdr:rowOff>
        </xdr:from>
        <xdr:to>
          <xdr:col>21</xdr:col>
          <xdr:colOff>133350</xdr:colOff>
          <xdr:row>10</xdr:row>
          <xdr:rowOff>38100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95250</xdr:rowOff>
        </xdr:from>
        <xdr:to>
          <xdr:col>21</xdr:col>
          <xdr:colOff>133350</xdr:colOff>
          <xdr:row>10</xdr:row>
          <xdr:rowOff>38100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l-GR" sz="1200" b="1" i="0" u="none" strike="noStrike" baseline="0">
                  <a:solidFill>
                    <a:srgbClr val="FF0000"/>
                  </a:solidFill>
                  <a:latin typeface="Arial"/>
                  <a:cs typeface="Arial"/>
                </a:rPr>
                <a:t>Make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11\Desktop\open%20oaa\m%20q.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11\Desktop\open%20oaa\m%20m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20q.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11\Desktop\open%20oaa\w%20m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11\Desktop\open%20oaa\d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q men"/>
      <sheetName val="PrgPrep"/>
      <sheetName val="R1"/>
      <sheetName val="R2"/>
      <sheetName val="R3, R4, R5"/>
      <sheetName val="notes"/>
      <sheetName val="tables"/>
      <sheetName val="m q"/>
    </sheetNames>
    <definedNames>
      <definedName name="Sheet2pdf"/>
    </definedNames>
    <sheetDataSet>
      <sheetData sheetId="0">
        <row r="2">
          <cell r="E2">
            <v>4</v>
          </cell>
          <cell r="K2">
            <v>0</v>
          </cell>
          <cell r="L2">
            <v>0</v>
          </cell>
        </row>
        <row r="3">
          <cell r="B3" t="str">
            <v>Η΄ΕΝΩΣΗ</v>
          </cell>
          <cell r="E3">
            <v>3</v>
          </cell>
          <cell r="K3">
            <v>1</v>
          </cell>
          <cell r="L3">
            <v>1</v>
          </cell>
        </row>
        <row r="4">
          <cell r="B4" t="str">
            <v>OPEN MASTERS</v>
          </cell>
          <cell r="K4">
            <v>2</v>
          </cell>
          <cell r="L4">
            <v>2</v>
          </cell>
        </row>
        <row r="5">
          <cell r="E5" t="str">
            <v>7</v>
          </cell>
          <cell r="K5">
            <v>3</v>
          </cell>
          <cell r="L5">
            <v>3</v>
          </cell>
        </row>
        <row r="6">
          <cell r="B6" t="str">
            <v>Ο.Α.ΑΘΗΝΩΝ</v>
          </cell>
          <cell r="E6" t="str">
            <v>5</v>
          </cell>
          <cell r="K6">
            <v>4</v>
          </cell>
          <cell r="L6">
            <v>4</v>
          </cell>
        </row>
        <row r="7">
          <cell r="B7" t="str">
            <v>men q</v>
          </cell>
          <cell r="E7" t="str">
            <v>8</v>
          </cell>
          <cell r="K7">
            <v>5</v>
          </cell>
          <cell r="L7">
            <v>5</v>
          </cell>
        </row>
        <row r="8">
          <cell r="B8" t="str">
            <v>13</v>
          </cell>
          <cell r="E8" t="str">
            <v>6</v>
          </cell>
          <cell r="K8">
            <v>6</v>
          </cell>
          <cell r="L8">
            <v>6</v>
          </cell>
        </row>
        <row r="9">
          <cell r="B9" t="str">
            <v>22 Νοε</v>
          </cell>
          <cell r="K9">
            <v>7</v>
          </cell>
          <cell r="L9">
            <v>7</v>
          </cell>
        </row>
        <row r="10">
          <cell r="B10" t="str">
            <v>Ταμπόση Τα.</v>
          </cell>
          <cell r="E10" t="str">
            <v>10</v>
          </cell>
          <cell r="K10">
            <v>8</v>
          </cell>
          <cell r="L10">
            <v>8</v>
          </cell>
        </row>
        <row r="11">
          <cell r="E11" t="str">
            <v>12</v>
          </cell>
          <cell r="K11">
            <v>9</v>
          </cell>
          <cell r="L11">
            <v>9</v>
          </cell>
        </row>
        <row r="12">
          <cell r="E12" t="str">
            <v>9</v>
          </cell>
          <cell r="K12">
            <v>10</v>
          </cell>
          <cell r="L12">
            <v>10</v>
          </cell>
        </row>
        <row r="13">
          <cell r="E13" t="str">
            <v>11</v>
          </cell>
          <cell r="K13">
            <v>11</v>
          </cell>
          <cell r="L13">
            <v>11</v>
          </cell>
        </row>
        <row r="14">
          <cell r="K14">
            <v>12</v>
          </cell>
          <cell r="L14">
            <v>12</v>
          </cell>
        </row>
        <row r="15">
          <cell r="E15" t="str">
            <v>14</v>
          </cell>
          <cell r="K15">
            <v>13</v>
          </cell>
          <cell r="L15">
            <v>13</v>
          </cell>
        </row>
        <row r="16">
          <cell r="E16" t="str">
            <v>16</v>
          </cell>
          <cell r="K16">
            <v>14</v>
          </cell>
          <cell r="L16">
            <v>14</v>
          </cell>
        </row>
        <row r="17">
          <cell r="E17" t="str">
            <v>15</v>
          </cell>
          <cell r="K17">
            <v>15</v>
          </cell>
          <cell r="L17">
            <v>15</v>
          </cell>
        </row>
        <row r="18">
          <cell r="B18">
            <v>1</v>
          </cell>
          <cell r="E18" t="str">
            <v>13</v>
          </cell>
          <cell r="K18">
            <v>16</v>
          </cell>
          <cell r="L18">
            <v>16</v>
          </cell>
        </row>
        <row r="19">
          <cell r="B19">
            <v>16</v>
          </cell>
          <cell r="K19">
            <v>17</v>
          </cell>
          <cell r="L19">
            <v>22</v>
          </cell>
        </row>
        <row r="20">
          <cell r="K20">
            <v>18</v>
          </cell>
          <cell r="L20">
            <v>55</v>
          </cell>
        </row>
        <row r="21">
          <cell r="K21">
            <v>19</v>
          </cell>
          <cell r="L21">
            <v>57</v>
          </cell>
        </row>
        <row r="22">
          <cell r="K22">
            <v>20</v>
          </cell>
          <cell r="L22">
            <v>44</v>
          </cell>
        </row>
        <row r="23">
          <cell r="K23">
            <v>21</v>
          </cell>
          <cell r="L23">
            <v>31</v>
          </cell>
        </row>
        <row r="24">
          <cell r="B24" t="str">
            <v>ok</v>
          </cell>
          <cell r="K24">
            <v>22</v>
          </cell>
          <cell r="L24">
            <v>25</v>
          </cell>
        </row>
        <row r="25">
          <cell r="K25">
            <v>23</v>
          </cell>
          <cell r="L25">
            <v>34</v>
          </cell>
        </row>
        <row r="26">
          <cell r="K26">
            <v>24</v>
          </cell>
          <cell r="L26">
            <v>60</v>
          </cell>
        </row>
        <row r="27">
          <cell r="K27">
            <v>25</v>
          </cell>
          <cell r="L27">
            <v>47</v>
          </cell>
        </row>
        <row r="28">
          <cell r="K28">
            <v>26</v>
          </cell>
          <cell r="L28">
            <v>28</v>
          </cell>
        </row>
        <row r="29">
          <cell r="K29">
            <v>27</v>
          </cell>
          <cell r="L29">
            <v>36</v>
          </cell>
        </row>
        <row r="30">
          <cell r="K30">
            <v>28</v>
          </cell>
          <cell r="L30">
            <v>42</v>
          </cell>
        </row>
        <row r="31">
          <cell r="K31">
            <v>29</v>
          </cell>
          <cell r="L31">
            <v>43</v>
          </cell>
        </row>
        <row r="32">
          <cell r="K32">
            <v>30</v>
          </cell>
          <cell r="L32">
            <v>62</v>
          </cell>
        </row>
        <row r="33">
          <cell r="K33">
            <v>31</v>
          </cell>
          <cell r="L33">
            <v>23</v>
          </cell>
        </row>
        <row r="34">
          <cell r="K34">
            <v>32</v>
          </cell>
          <cell r="L34">
            <v>17</v>
          </cell>
        </row>
        <row r="35">
          <cell r="K35">
            <v>33</v>
          </cell>
          <cell r="L35">
            <v>54</v>
          </cell>
        </row>
        <row r="36">
          <cell r="K36">
            <v>34</v>
          </cell>
          <cell r="L36">
            <v>19</v>
          </cell>
        </row>
        <row r="37">
          <cell r="K37">
            <v>35</v>
          </cell>
          <cell r="L37">
            <v>27</v>
          </cell>
        </row>
        <row r="38">
          <cell r="K38">
            <v>36</v>
          </cell>
          <cell r="L38">
            <v>51</v>
          </cell>
        </row>
        <row r="39">
          <cell r="K39">
            <v>37</v>
          </cell>
          <cell r="L39">
            <v>41</v>
          </cell>
        </row>
        <row r="40">
          <cell r="K40">
            <v>38</v>
          </cell>
          <cell r="L40">
            <v>56</v>
          </cell>
        </row>
        <row r="41">
          <cell r="K41">
            <v>39</v>
          </cell>
          <cell r="L41">
            <v>49</v>
          </cell>
        </row>
        <row r="42">
          <cell r="K42">
            <v>40</v>
          </cell>
          <cell r="L42">
            <v>53</v>
          </cell>
        </row>
        <row r="43">
          <cell r="K43">
            <v>41</v>
          </cell>
          <cell r="L43">
            <v>32</v>
          </cell>
        </row>
        <row r="44">
          <cell r="K44">
            <v>42</v>
          </cell>
          <cell r="L44">
            <v>50</v>
          </cell>
        </row>
        <row r="45">
          <cell r="K45">
            <v>43</v>
          </cell>
          <cell r="L45">
            <v>26</v>
          </cell>
        </row>
        <row r="46">
          <cell r="K46">
            <v>44</v>
          </cell>
          <cell r="L46">
            <v>40</v>
          </cell>
        </row>
        <row r="47">
          <cell r="K47">
            <v>45</v>
          </cell>
          <cell r="L47">
            <v>33</v>
          </cell>
        </row>
        <row r="48">
          <cell r="K48">
            <v>46</v>
          </cell>
          <cell r="L48">
            <v>39</v>
          </cell>
        </row>
        <row r="49">
          <cell r="K49">
            <v>47</v>
          </cell>
          <cell r="L49">
            <v>61</v>
          </cell>
        </row>
        <row r="50">
          <cell r="K50">
            <v>48</v>
          </cell>
          <cell r="L50">
            <v>52</v>
          </cell>
        </row>
        <row r="51">
          <cell r="K51">
            <v>49</v>
          </cell>
          <cell r="L51">
            <v>37</v>
          </cell>
        </row>
        <row r="52">
          <cell r="K52">
            <v>50</v>
          </cell>
          <cell r="L52">
            <v>63</v>
          </cell>
        </row>
        <row r="53">
          <cell r="K53">
            <v>51</v>
          </cell>
          <cell r="L53">
            <v>21</v>
          </cell>
        </row>
        <row r="54">
          <cell r="K54">
            <v>52</v>
          </cell>
          <cell r="L54">
            <v>46</v>
          </cell>
        </row>
        <row r="55">
          <cell r="K55">
            <v>53</v>
          </cell>
          <cell r="L55">
            <v>45</v>
          </cell>
        </row>
        <row r="56">
          <cell r="K56">
            <v>54</v>
          </cell>
          <cell r="L56">
            <v>48</v>
          </cell>
        </row>
        <row r="57">
          <cell r="K57">
            <v>55</v>
          </cell>
          <cell r="L57">
            <v>30</v>
          </cell>
        </row>
        <row r="58">
          <cell r="K58">
            <v>56</v>
          </cell>
          <cell r="L58">
            <v>18</v>
          </cell>
        </row>
        <row r="59">
          <cell r="K59">
            <v>57</v>
          </cell>
          <cell r="L59">
            <v>35</v>
          </cell>
        </row>
        <row r="60">
          <cell r="K60">
            <v>58</v>
          </cell>
          <cell r="L60">
            <v>58</v>
          </cell>
        </row>
        <row r="61">
          <cell r="K61">
            <v>59</v>
          </cell>
          <cell r="L61">
            <v>59</v>
          </cell>
        </row>
        <row r="62">
          <cell r="K62">
            <v>60</v>
          </cell>
          <cell r="L62">
            <v>38</v>
          </cell>
        </row>
        <row r="63">
          <cell r="K63">
            <v>61</v>
          </cell>
          <cell r="L63">
            <v>20</v>
          </cell>
        </row>
        <row r="64">
          <cell r="K64">
            <v>62</v>
          </cell>
          <cell r="L64">
            <v>29</v>
          </cell>
        </row>
        <row r="65">
          <cell r="K65">
            <v>63</v>
          </cell>
          <cell r="L65">
            <v>24</v>
          </cell>
        </row>
      </sheetData>
      <sheetData sheetId="1">
        <row r="3">
          <cell r="A3">
            <v>1</v>
          </cell>
          <cell r="C3">
            <v>1</v>
          </cell>
          <cell r="D3" t="str">
            <v>ΚΟΚΚΟΤΑΣ ΝΙΚΟΛΑΟΣ</v>
          </cell>
          <cell r="F3">
            <v>1</v>
          </cell>
        </row>
        <row r="4">
          <cell r="A4">
            <v>2</v>
          </cell>
          <cell r="C4">
            <v>5</v>
          </cell>
          <cell r="D4" t="str">
            <v>ΓΛΕΖΟΣ ΜΑΝΩΛΗΣ</v>
          </cell>
          <cell r="F4">
            <v>1</v>
          </cell>
        </row>
        <row r="5">
          <cell r="A5">
            <v>3</v>
          </cell>
          <cell r="C5">
            <v>2</v>
          </cell>
          <cell r="D5" t="str">
            <v>ΚΩΣΤΑΡΑΣ ΠΑΝΑΓΙΩΤΗΣ</v>
          </cell>
          <cell r="F5">
            <v>1</v>
          </cell>
        </row>
        <row r="6">
          <cell r="A6">
            <v>4</v>
          </cell>
          <cell r="C6">
            <v>4</v>
          </cell>
          <cell r="D6" t="str">
            <v>ΖΑΝΝΙΑΣ ΘΑΝΑΣΗΣ</v>
          </cell>
          <cell r="F6">
            <v>1</v>
          </cell>
        </row>
        <row r="7">
          <cell r="A7">
            <v>5</v>
          </cell>
          <cell r="C7">
            <v>3</v>
          </cell>
          <cell r="D7" t="str">
            <v>ΓΙΑΝΝΑΚΑΚΗΣ ΗΛΙΑΣ</v>
          </cell>
          <cell r="F7">
            <v>1</v>
          </cell>
        </row>
        <row r="8">
          <cell r="A8">
            <v>6</v>
          </cell>
          <cell r="C8">
            <v>6</v>
          </cell>
          <cell r="D8" t="str">
            <v>ΜΟΥΡΑΤΟΓΛΟΥ ΑΡΙΣΤΟΤΕΛΗΣ</v>
          </cell>
          <cell r="F8">
            <v>0.75</v>
          </cell>
        </row>
        <row r="9">
          <cell r="A9">
            <v>7</v>
          </cell>
          <cell r="C9">
            <v>9</v>
          </cell>
          <cell r="D9" t="str">
            <v>ΜΠΙΣΜΠΙΚΟΣ ΝΙΚΟΛΑΣ</v>
          </cell>
          <cell r="F9">
            <v>0.75</v>
          </cell>
        </row>
        <row r="10">
          <cell r="A10">
            <v>8</v>
          </cell>
          <cell r="C10">
            <v>7</v>
          </cell>
          <cell r="D10" t="str">
            <v>ΠΑΠΑΓΕΩΡΓΙΟΥ ΓΙΩΡΓΟΣ</v>
          </cell>
          <cell r="F10">
            <v>0.75</v>
          </cell>
        </row>
        <row r="11">
          <cell r="A11">
            <v>9</v>
          </cell>
          <cell r="C11">
            <v>8</v>
          </cell>
          <cell r="D11" t="str">
            <v>ΙΑΤΡΟΠΟΥΛΟΣ ΔΗΜΗΤΡΗΣ</v>
          </cell>
          <cell r="F11">
            <v>0.75</v>
          </cell>
        </row>
        <row r="12">
          <cell r="A12">
            <v>10</v>
          </cell>
          <cell r="C12">
            <v>11</v>
          </cell>
          <cell r="D12" t="str">
            <v>ΖΕΡΔΙΛΑΣ ΑΙΤΟΡ</v>
          </cell>
          <cell r="F12">
            <v>0.5</v>
          </cell>
        </row>
        <row r="13">
          <cell r="A13">
            <v>11</v>
          </cell>
          <cell r="C13">
            <v>12</v>
          </cell>
          <cell r="D13" t="str">
            <v>ΚΑΒΑΛΛΑΣ ΘΟΔΩΡΗΣ</v>
          </cell>
          <cell r="F13">
            <v>0.5</v>
          </cell>
        </row>
        <row r="14">
          <cell r="A14">
            <v>12</v>
          </cell>
          <cell r="C14">
            <v>13</v>
          </cell>
          <cell r="D14" t="str">
            <v>ΚΑΛΛΙΤΣΗΣ ΚΩΝΣΤΑΝΤΙΝΟΣ</v>
          </cell>
          <cell r="F14">
            <v>0.5</v>
          </cell>
        </row>
        <row r="15">
          <cell r="A15">
            <v>13</v>
          </cell>
          <cell r="C15">
            <v>14</v>
          </cell>
          <cell r="D15" t="str">
            <v>ΚΑΠΙΡΗΣ ΣΤΑΜΑΤΗΣ</v>
          </cell>
          <cell r="F15">
            <v>0.5</v>
          </cell>
        </row>
        <row r="16">
          <cell r="A16">
            <v>14</v>
          </cell>
          <cell r="C16">
            <v>10</v>
          </cell>
          <cell r="D16" t="str">
            <v>ΒΕΝΕΤΗΣ ΤΑΣΟΣ</v>
          </cell>
          <cell r="F16">
            <v>0.5</v>
          </cell>
        </row>
        <row r="17">
          <cell r="A17">
            <v>15</v>
          </cell>
          <cell r="C17">
            <v>17</v>
          </cell>
          <cell r="D17" t="str">
            <v>ΗΛΙΟΠΟΥΛΟΣ ΚΩΝΣΤΑΝΤΙΝΟΣ</v>
          </cell>
          <cell r="F17">
            <v>0.1</v>
          </cell>
        </row>
        <row r="18">
          <cell r="A18">
            <v>16</v>
          </cell>
          <cell r="C18">
            <v>15</v>
          </cell>
          <cell r="D18" t="str">
            <v>ΒΛΑΒΙΑΝΟΣ ΙΑΣΩΝ</v>
          </cell>
          <cell r="F18">
            <v>0.1</v>
          </cell>
        </row>
        <row r="19">
          <cell r="A19">
            <v>17</v>
          </cell>
          <cell r="C19">
            <v>18</v>
          </cell>
          <cell r="D19" t="str">
            <v>ΠΑΠΑΪΩΑΝΝΟΥ ΓΙΑΝΝΗΣ</v>
          </cell>
          <cell r="F19">
            <v>0.1</v>
          </cell>
        </row>
        <row r="20">
          <cell r="A20">
            <v>18</v>
          </cell>
          <cell r="C20">
            <v>16</v>
          </cell>
          <cell r="D20" t="str">
            <v>ΔΗΜΑΣ ΑΛΕΞΙΟΣ</v>
          </cell>
          <cell r="F20">
            <v>0.1</v>
          </cell>
        </row>
        <row r="21">
          <cell r="A21">
            <v>19</v>
          </cell>
          <cell r="C21">
            <v>19</v>
          </cell>
          <cell r="D21" t="str">
            <v>ΤΣΙΤΣΙΠΑΣ ΠΕΤΡΟΣ</v>
          </cell>
          <cell r="F21">
            <v>0.1</v>
          </cell>
        </row>
        <row r="22">
          <cell r="A22">
            <v>20</v>
          </cell>
          <cell r="C22">
            <v>39</v>
          </cell>
          <cell r="D22" t="str">
            <v>ΜΕΝΕΞΕΛΗΣ ΟΔΥΣΣΕΑΣ</v>
          </cell>
        </row>
        <row r="23">
          <cell r="A23">
            <v>21</v>
          </cell>
          <cell r="C23">
            <v>54</v>
          </cell>
          <cell r="D23" t="str">
            <v>ΤΕΝΕΝΤΕΣ ΧΡΗΣΤΟΣ</v>
          </cell>
        </row>
        <row r="24">
          <cell r="A24">
            <v>22</v>
          </cell>
          <cell r="C24">
            <v>42</v>
          </cell>
          <cell r="D24" t="str">
            <v>ΝΙΑΡΧΟΣ ΝΙΚΗΤΑΣ</v>
          </cell>
        </row>
        <row r="25">
          <cell r="A25">
            <v>23</v>
          </cell>
          <cell r="C25">
            <v>43</v>
          </cell>
          <cell r="D25" t="str">
            <v>ΠΑΝΟΠΟΥΛΟΣ ΔΗΜΗΤΡΙΟΣ</v>
          </cell>
        </row>
        <row r="26">
          <cell r="A26">
            <v>24</v>
          </cell>
          <cell r="C26">
            <v>45</v>
          </cell>
          <cell r="D26" t="str">
            <v>ΠΕΡΔΙΚΟΓΙΑΝΝΗΣ ΣΤΕΛΙΟΣ</v>
          </cell>
        </row>
        <row r="27">
          <cell r="A27">
            <v>25</v>
          </cell>
          <cell r="C27">
            <v>52</v>
          </cell>
          <cell r="D27" t="str">
            <v>ΣΤΑΥΡΟΠΟΥΛΟΣ ΜΑΡΙΟΣ-ΦΩΤΙΟΣ</v>
          </cell>
        </row>
        <row r="28">
          <cell r="A28">
            <v>26</v>
          </cell>
          <cell r="C28">
            <v>37</v>
          </cell>
          <cell r="D28" t="str">
            <v>ΛΙΤΣΑΣ ΙΓΝΑΤΙΟΣ</v>
          </cell>
        </row>
        <row r="29">
          <cell r="A29">
            <v>27</v>
          </cell>
          <cell r="C29">
            <v>38</v>
          </cell>
          <cell r="D29" t="str">
            <v>ΜΑΝΤΙΚΑΣ ΓΕΩΡΓΙΟΣ</v>
          </cell>
        </row>
        <row r="30">
          <cell r="A30">
            <v>28</v>
          </cell>
          <cell r="C30">
            <v>40</v>
          </cell>
          <cell r="D30" t="str">
            <v>ΜΟΥΣΑΣ ΔΗΜΟΣΘΕΝΗΣ</v>
          </cell>
        </row>
        <row r="31">
          <cell r="A31">
            <v>29</v>
          </cell>
          <cell r="C31">
            <v>48</v>
          </cell>
          <cell r="D31" t="str">
            <v>ΣΗΜΑΙΟΦΟΡΙΔΗΣ ΧΑΡΗΣ</v>
          </cell>
        </row>
        <row r="32">
          <cell r="A32">
            <v>30</v>
          </cell>
          <cell r="C32">
            <v>58</v>
          </cell>
          <cell r="D32" t="str">
            <v>ΧΑΜΑΜΗΣ ΝΙΚΟΣ</v>
          </cell>
        </row>
        <row r="33">
          <cell r="A33">
            <v>31</v>
          </cell>
          <cell r="C33">
            <v>33</v>
          </cell>
          <cell r="D33" t="str">
            <v>ΚΟΥΜΙΔΗΣ ΧΡΗΣΤΟΣ</v>
          </cell>
        </row>
        <row r="34">
          <cell r="A34">
            <v>32</v>
          </cell>
          <cell r="C34">
            <v>53</v>
          </cell>
          <cell r="D34" t="str">
            <v>ΣΤΕΡΓΙΟΥ ΑΘΑΝΑΣΙΟΣ</v>
          </cell>
        </row>
        <row r="35">
          <cell r="A35">
            <v>33</v>
          </cell>
          <cell r="C35">
            <v>41</v>
          </cell>
          <cell r="D35" t="str">
            <v>ΜΠΕΛΤΖΕΝΙΤΗΣ ΙΩΑΝΝΗΣ</v>
          </cell>
        </row>
        <row r="36">
          <cell r="A36">
            <v>34</v>
          </cell>
          <cell r="C36">
            <v>62</v>
          </cell>
          <cell r="D36" t="str">
            <v>ΧΙΡΙΣΤΑΝΙΔΗΣ ΓΙΩΡΓΟΣ</v>
          </cell>
        </row>
        <row r="37">
          <cell r="A37">
            <v>35</v>
          </cell>
          <cell r="C37">
            <v>49</v>
          </cell>
          <cell r="D37" t="str">
            <v>ΣΚΑΛΙΔΑΚΗΣ ΔΗΜΗΤΡΗΣ</v>
          </cell>
        </row>
        <row r="38">
          <cell r="A38">
            <v>36</v>
          </cell>
          <cell r="C38">
            <v>32</v>
          </cell>
          <cell r="D38" t="str">
            <v>ΚΟΥΜΙΔΗΣ ΙΑΣΟΝΑΣ</v>
          </cell>
        </row>
        <row r="39">
          <cell r="A39">
            <v>37</v>
          </cell>
          <cell r="C39">
            <v>60</v>
          </cell>
          <cell r="D39" t="str">
            <v>ΧΑΤΖΗΑΠΟΣΤΟΛΟΥ ΑΧΙΛΛΕΑΣ</v>
          </cell>
        </row>
        <row r="40">
          <cell r="A40">
            <v>38</v>
          </cell>
          <cell r="C40">
            <v>26</v>
          </cell>
          <cell r="D40" t="str">
            <v>ΚΑΖΑΝΤΖΗΣ ΜΙΧΑΛΗΣ-ΤΟΥΒ</v>
          </cell>
        </row>
        <row r="41">
          <cell r="A41">
            <v>39</v>
          </cell>
          <cell r="C41">
            <v>56</v>
          </cell>
          <cell r="D41" t="str">
            <v>ΦΡΑΓΚΙΣΤΑΣ ΕΥΑΓΓΕΛΟΣ</v>
          </cell>
        </row>
        <row r="42">
          <cell r="A42">
            <v>40</v>
          </cell>
          <cell r="C42">
            <v>46</v>
          </cell>
          <cell r="D42" t="str">
            <v>ΠΡΟΚΟΠΑΚΗΣ ΧΑΡΙΔΗΜΟΣ</v>
          </cell>
        </row>
        <row r="43">
          <cell r="A43">
            <v>41</v>
          </cell>
          <cell r="C43">
            <v>24</v>
          </cell>
          <cell r="D43" t="str">
            <v>ΘΕΟΔΩΡΟΥ ΚΩΣΤΑΣ</v>
          </cell>
        </row>
        <row r="44">
          <cell r="A44">
            <v>42</v>
          </cell>
          <cell r="C44">
            <v>59</v>
          </cell>
          <cell r="D44" t="str">
            <v>ΧΑΝΔΡΟΣ ΝΙΚΟΛΑΟΣ</v>
          </cell>
        </row>
        <row r="45">
          <cell r="A45">
            <v>43</v>
          </cell>
          <cell r="C45">
            <v>47</v>
          </cell>
          <cell r="D45" t="str">
            <v>ΣΕΛΕΠΕΣ ΦΡΑΓΚΙΣΚΟΣ</v>
          </cell>
        </row>
        <row r="46">
          <cell r="A46">
            <v>44</v>
          </cell>
          <cell r="C46">
            <v>51</v>
          </cell>
          <cell r="D46" t="str">
            <v>ΣΤΑΥΡΙΔΗΣ ΓΙΑΝΝΗΣ</v>
          </cell>
        </row>
        <row r="47">
          <cell r="A47">
            <v>45</v>
          </cell>
          <cell r="C47">
            <v>21</v>
          </cell>
          <cell r="D47" t="str">
            <v>ΒΑΡΦΗΣ ΙΑΣΩΝ</v>
          </cell>
        </row>
        <row r="48">
          <cell r="A48">
            <v>46</v>
          </cell>
          <cell r="C48">
            <v>57</v>
          </cell>
          <cell r="D48" t="str">
            <v>ΧΑΜΑΜΗΣ ΓΙΩΡΓΟΣ</v>
          </cell>
        </row>
        <row r="49">
          <cell r="A49">
            <v>47</v>
          </cell>
          <cell r="C49">
            <v>63</v>
          </cell>
          <cell r="D49" t="str">
            <v>ΧΟΛΕΒΑΣ ΣΩΤΗΡΙΟΣ</v>
          </cell>
        </row>
        <row r="50">
          <cell r="A50">
            <v>48</v>
          </cell>
          <cell r="C50">
            <v>27</v>
          </cell>
          <cell r="D50" t="str">
            <v>ΚΑΛΛΙΝΙΚΟΣ ΝΙΚΟΣ</v>
          </cell>
        </row>
        <row r="51">
          <cell r="A51">
            <v>49</v>
          </cell>
          <cell r="C51">
            <v>50</v>
          </cell>
          <cell r="D51" t="str">
            <v>ΣΤΑΗΣ ΒΑΛΕΡΙΟΣ</v>
          </cell>
        </row>
        <row r="52">
          <cell r="A52">
            <v>50</v>
          </cell>
          <cell r="C52">
            <v>22</v>
          </cell>
          <cell r="D52" t="str">
            <v>ΒΟΪΝΕΑ ΑΛΕΞΑΝΔΡΟΣ</v>
          </cell>
        </row>
        <row r="53">
          <cell r="A53">
            <v>51</v>
          </cell>
          <cell r="C53">
            <v>20</v>
          </cell>
          <cell r="D53" t="str">
            <v>DIRZU ANDREI</v>
          </cell>
        </row>
        <row r="54">
          <cell r="A54">
            <v>52</v>
          </cell>
          <cell r="C54">
            <v>35</v>
          </cell>
          <cell r="D54" t="str">
            <v>ΛΑΖΑΡΑΚΗΣ ΓΙΩΡΓΟΣ</v>
          </cell>
        </row>
        <row r="55">
          <cell r="A55">
            <v>53</v>
          </cell>
          <cell r="C55">
            <v>23</v>
          </cell>
          <cell r="D55" t="str">
            <v>ΔΙΑΛΥΝΑΣ ΓΙΩΡΓΟΣ</v>
          </cell>
        </row>
        <row r="56">
          <cell r="A56">
            <v>54</v>
          </cell>
          <cell r="C56">
            <v>36</v>
          </cell>
          <cell r="D56" t="str">
            <v>ΛΑΜΠΡΟΠΟΥΛΟΣ ΔΙΟΝΥΣΗΣ</v>
          </cell>
        </row>
        <row r="57">
          <cell r="A57">
            <v>55</v>
          </cell>
          <cell r="C57">
            <v>31</v>
          </cell>
          <cell r="D57" t="str">
            <v>ΚΟΥΔΟΥΝΑΣ ΜΙΛΤΟΣ</v>
          </cell>
        </row>
        <row r="58">
          <cell r="A58">
            <v>56</v>
          </cell>
          <cell r="C58">
            <v>30</v>
          </cell>
          <cell r="D58" t="str">
            <v>ΚΟΡΑΚΑΣ ΑΝΑΣΤΑΣΙΟΣ</v>
          </cell>
        </row>
        <row r="59">
          <cell r="A59">
            <v>57</v>
          </cell>
          <cell r="C59">
            <v>25</v>
          </cell>
          <cell r="D59" t="str">
            <v>ΙΩΑΝΝΙΔΗΣ ΠΕΤΡΟΣ</v>
          </cell>
        </row>
        <row r="60">
          <cell r="A60">
            <v>58</v>
          </cell>
          <cell r="C60">
            <v>55</v>
          </cell>
          <cell r="D60" t="str">
            <v>ΤΣΟΜΛΕΚΤΣΟΓΛΟΥ ΝΙΚΟΛΑΟΣ</v>
          </cell>
        </row>
        <row r="61">
          <cell r="A61">
            <v>59</v>
          </cell>
          <cell r="C61">
            <v>64</v>
          </cell>
          <cell r="D61" t="str">
            <v>ΨΑΡΟΓΙΑΝΝΗΣ ΘΕΜΗΣ</v>
          </cell>
        </row>
        <row r="62">
          <cell r="A62">
            <v>60</v>
          </cell>
          <cell r="C62">
            <v>44</v>
          </cell>
          <cell r="D62" t="str">
            <v>ΠΑΠΑΔΟΠΟΥΛΟΣ ΠΑΝΑΓΙΩΤΗΣ</v>
          </cell>
        </row>
        <row r="63">
          <cell r="A63">
            <v>61</v>
          </cell>
          <cell r="C63">
            <v>34</v>
          </cell>
          <cell r="D63" t="str">
            <v>ΚΟΥΤΣΟΥΛΗΣ ΜΑΡΙΟΣ</v>
          </cell>
        </row>
        <row r="64">
          <cell r="A64">
            <v>62</v>
          </cell>
          <cell r="C64">
            <v>29</v>
          </cell>
          <cell r="D64" t="str">
            <v>ΚΑΦΕΝΤΖΗΣ ΓΕΩΡΓΙΟΣ</v>
          </cell>
        </row>
        <row r="65">
          <cell r="A65">
            <v>63</v>
          </cell>
          <cell r="C65">
            <v>28</v>
          </cell>
          <cell r="D65" t="str">
            <v>ΚΑΛΟΓΕΡΟΠΟΥΛΟΣ ΠΑΝΑΓΙΩΤΗΣ</v>
          </cell>
        </row>
        <row r="66">
          <cell r="A66">
            <v>64</v>
          </cell>
          <cell r="D66" t="str">
            <v/>
          </cell>
        </row>
      </sheetData>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m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11</v>
          </cell>
        </row>
        <row r="17">
          <cell r="G17">
            <v>6</v>
          </cell>
          <cell r="H17">
            <v>5</v>
          </cell>
        </row>
        <row r="18">
          <cell r="B18">
            <v>0</v>
          </cell>
          <cell r="G18">
            <v>7</v>
          </cell>
          <cell r="H18">
            <v>15</v>
          </cell>
        </row>
        <row r="19">
          <cell r="B19">
            <v>4</v>
          </cell>
          <cell r="G19">
            <v>8</v>
          </cell>
          <cell r="H19">
            <v>12</v>
          </cell>
        </row>
        <row r="20">
          <cell r="G20">
            <v>9</v>
          </cell>
          <cell r="H20">
            <v>14</v>
          </cell>
        </row>
        <row r="21">
          <cell r="G21">
            <v>10</v>
          </cell>
          <cell r="H21">
            <v>8</v>
          </cell>
        </row>
        <row r="22">
          <cell r="G22">
            <v>11</v>
          </cell>
          <cell r="H22">
            <v>10</v>
          </cell>
        </row>
        <row r="23">
          <cell r="G23">
            <v>12</v>
          </cell>
          <cell r="H23">
            <v>16</v>
          </cell>
        </row>
        <row r="24">
          <cell r="B24" t="str">
            <v>ok</v>
          </cell>
          <cell r="G24">
            <v>13</v>
          </cell>
          <cell r="H24">
            <v>13</v>
          </cell>
        </row>
        <row r="25">
          <cell r="G25">
            <v>14</v>
          </cell>
          <cell r="H25">
            <v>6</v>
          </cell>
        </row>
        <row r="26">
          <cell r="G26">
            <v>15</v>
          </cell>
          <cell r="H26">
            <v>7</v>
          </cell>
        </row>
        <row r="27">
          <cell r="G27">
            <v>16</v>
          </cell>
          <cell r="H27">
            <v>9</v>
          </cell>
        </row>
      </sheetData>
      <sheetData sheetId="1">
        <row r="3">
          <cell r="A3">
            <v>1</v>
          </cell>
          <cell r="C3">
            <v>1</v>
          </cell>
          <cell r="D3" t="str">
            <v>ΓΕΜΟΥΧΙΔΗΣ ΠΑΡΙΣ</v>
          </cell>
          <cell r="F3">
            <v>18</v>
          </cell>
        </row>
        <row r="4">
          <cell r="A4">
            <v>2</v>
          </cell>
          <cell r="C4">
            <v>2</v>
          </cell>
          <cell r="D4" t="str">
            <v>ΓΙΩΤΟΠΟΥΛΟΣ ΓΙΩΡΓΟΣ</v>
          </cell>
          <cell r="F4">
            <v>6</v>
          </cell>
        </row>
        <row r="5">
          <cell r="A5">
            <v>3</v>
          </cell>
          <cell r="C5">
            <v>3</v>
          </cell>
          <cell r="D5" t="str">
            <v>ΑΓΓΕΛΙΝΟΣ ΘΟΔΩΡΗΣ</v>
          </cell>
          <cell r="F5">
            <v>4</v>
          </cell>
        </row>
        <row r="6">
          <cell r="A6">
            <v>4</v>
          </cell>
          <cell r="C6">
            <v>4</v>
          </cell>
          <cell r="D6" t="str">
            <v>ΗΛΙΟΠΟΥΛΟΣ ΒΑΣΙΛΗΣ</v>
          </cell>
          <cell r="F6">
            <v>3</v>
          </cell>
        </row>
        <row r="7">
          <cell r="A7">
            <v>5</v>
          </cell>
          <cell r="C7">
            <v>5</v>
          </cell>
          <cell r="D7" t="str">
            <v>ΔΕΛΗΣ ΑΝΔΡΕΑΣ-ΑΛΕΞΑΝΔΡΟΣ</v>
          </cell>
          <cell r="F7">
            <v>1.5</v>
          </cell>
        </row>
        <row r="8">
          <cell r="A8">
            <v>6</v>
          </cell>
          <cell r="C8">
            <v>6</v>
          </cell>
          <cell r="D8" t="str">
            <v>ΚΩΣΤΙΚΟΓΛΟΥ ΜΙΧΑΛΗΣ</v>
          </cell>
          <cell r="F8">
            <v>1.5</v>
          </cell>
        </row>
        <row r="9">
          <cell r="A9">
            <v>7</v>
          </cell>
          <cell r="C9">
            <v>7</v>
          </cell>
          <cell r="D9" t="str">
            <v>ΣΑΚΕΛΛΑΡΙΔΗΣ ΜΙΧΑΛΗΣ</v>
          </cell>
          <cell r="F9">
            <v>1.5</v>
          </cell>
        </row>
        <row r="10">
          <cell r="A10">
            <v>8</v>
          </cell>
          <cell r="C10">
            <v>8</v>
          </cell>
          <cell r="D10" t="str">
            <v>ΧΟΝΔΡΟΣ ΙΑΣΩΝ-ΣΤΥΛΙΑΝΟΣ</v>
          </cell>
          <cell r="F10">
            <v>1.25</v>
          </cell>
        </row>
        <row r="11">
          <cell r="A11">
            <v>9</v>
          </cell>
          <cell r="C11">
            <v>9</v>
          </cell>
          <cell r="D11" t="str">
            <v>Q</v>
          </cell>
        </row>
        <row r="12">
          <cell r="A12">
            <v>10</v>
          </cell>
          <cell r="C12">
            <v>12</v>
          </cell>
          <cell r="D12" t="str">
            <v>Q</v>
          </cell>
        </row>
        <row r="13">
          <cell r="A13">
            <v>11</v>
          </cell>
          <cell r="C13">
            <v>11</v>
          </cell>
          <cell r="D13" t="str">
            <v>Q</v>
          </cell>
        </row>
        <row r="14">
          <cell r="A14">
            <v>12</v>
          </cell>
          <cell r="C14">
            <v>10</v>
          </cell>
          <cell r="D14" t="str">
            <v>Q</v>
          </cell>
        </row>
        <row r="15">
          <cell r="A15">
            <v>13</v>
          </cell>
          <cell r="C15">
            <v>15</v>
          </cell>
          <cell r="D15" t="str">
            <v>Q</v>
          </cell>
        </row>
        <row r="16">
          <cell r="A16">
            <v>14</v>
          </cell>
          <cell r="C16">
            <v>13</v>
          </cell>
          <cell r="D16" t="str">
            <v>Q</v>
          </cell>
        </row>
        <row r="17">
          <cell r="A17">
            <v>15</v>
          </cell>
          <cell r="C17">
            <v>14</v>
          </cell>
          <cell r="D17" t="str">
            <v>Q</v>
          </cell>
        </row>
        <row r="18">
          <cell r="A18">
            <v>16</v>
          </cell>
          <cell r="C18">
            <v>16</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q"/>
      <sheetName val="PrgPrep"/>
      <sheetName val="Day1"/>
      <sheetName val="Day2"/>
      <sheetName val="notes"/>
      <sheetName val="tmp"/>
      <sheetName val="tmpRankings"/>
    </sheetNames>
    <definedNames>
      <definedName name="Sheet2pdf"/>
    </definedNames>
    <sheetDataSet>
      <sheetData sheetId="0">
        <row r="2">
          <cell r="E2">
            <v>3</v>
          </cell>
        </row>
        <row r="3">
          <cell r="B3" t="str">
            <v>Η Ένωση</v>
          </cell>
          <cell r="E3">
            <v>4</v>
          </cell>
        </row>
        <row r="4">
          <cell r="B4" t="str">
            <v>ΟΡΕΝ MASTERS</v>
          </cell>
        </row>
        <row r="6">
          <cell r="B6" t="str">
            <v>ΟΑ ΑΘΗΝΩΝ</v>
          </cell>
        </row>
        <row r="7">
          <cell r="B7" t="str">
            <v>w q</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14</v>
          </cell>
        </row>
        <row r="17">
          <cell r="G17">
            <v>6</v>
          </cell>
          <cell r="H17">
            <v>7</v>
          </cell>
        </row>
        <row r="18">
          <cell r="B18">
            <v>0</v>
          </cell>
          <cell r="G18">
            <v>7</v>
          </cell>
          <cell r="H18">
            <v>9</v>
          </cell>
        </row>
        <row r="19">
          <cell r="B19">
            <v>4</v>
          </cell>
          <cell r="G19">
            <v>8</v>
          </cell>
          <cell r="H19">
            <v>10</v>
          </cell>
        </row>
        <row r="20">
          <cell r="G20">
            <v>9</v>
          </cell>
          <cell r="H20">
            <v>8</v>
          </cell>
        </row>
        <row r="21">
          <cell r="G21">
            <v>10</v>
          </cell>
          <cell r="H21">
            <v>6</v>
          </cell>
        </row>
        <row r="22">
          <cell r="G22">
            <v>11</v>
          </cell>
          <cell r="H22">
            <v>11</v>
          </cell>
        </row>
        <row r="23">
          <cell r="G23">
            <v>12</v>
          </cell>
          <cell r="H23">
            <v>5</v>
          </cell>
        </row>
        <row r="24">
          <cell r="B24" t="str">
            <v>ok</v>
          </cell>
          <cell r="G24">
            <v>13</v>
          </cell>
          <cell r="H24">
            <v>12</v>
          </cell>
        </row>
        <row r="25">
          <cell r="G25">
            <v>14</v>
          </cell>
          <cell r="H25">
            <v>16</v>
          </cell>
        </row>
        <row r="26">
          <cell r="G26">
            <v>15</v>
          </cell>
          <cell r="H26">
            <v>13</v>
          </cell>
        </row>
        <row r="27">
          <cell r="G27">
            <v>16</v>
          </cell>
          <cell r="H27">
            <v>15</v>
          </cell>
        </row>
      </sheetData>
      <sheetData sheetId="1">
        <row r="3">
          <cell r="A3">
            <v>1</v>
          </cell>
          <cell r="B3">
            <v>0</v>
          </cell>
          <cell r="C3">
            <v>6</v>
          </cell>
          <cell r="D3" t="str">
            <v>ΤΣΙΑΡΑ ΕΥΘΥΜΙΑ</v>
          </cell>
          <cell r="E3">
            <v>0</v>
          </cell>
          <cell r="F3">
            <v>0.5</v>
          </cell>
          <cell r="G3">
            <v>0</v>
          </cell>
        </row>
        <row r="4">
          <cell r="A4">
            <v>2</v>
          </cell>
          <cell r="B4">
            <v>0</v>
          </cell>
          <cell r="C4">
            <v>4</v>
          </cell>
          <cell r="D4" t="str">
            <v>ΠΑΠΑΔΑΚΗ ΑΛΕΞΑΝΔΡΑ</v>
          </cell>
          <cell r="E4">
            <v>0</v>
          </cell>
          <cell r="F4">
            <v>0.5</v>
          </cell>
          <cell r="G4">
            <v>0</v>
          </cell>
        </row>
        <row r="5">
          <cell r="A5">
            <v>3</v>
          </cell>
          <cell r="B5">
            <v>0</v>
          </cell>
          <cell r="C5">
            <v>3</v>
          </cell>
          <cell r="D5" t="str">
            <v>ΝΙΚΟΛΟΠΟΥΛΟΥ ΝΑΤΑΛΙΑ</v>
          </cell>
          <cell r="E5">
            <v>0</v>
          </cell>
          <cell r="F5">
            <v>0.5</v>
          </cell>
          <cell r="G5">
            <v>0</v>
          </cell>
        </row>
        <row r="6">
          <cell r="A6">
            <v>4</v>
          </cell>
          <cell r="B6">
            <v>0</v>
          </cell>
          <cell r="C6">
            <v>1</v>
          </cell>
          <cell r="D6" t="str">
            <v>ΛΑΘΟΥΡΗ ΙΩΑΝΝΑ</v>
          </cell>
          <cell r="E6">
            <v>0</v>
          </cell>
          <cell r="F6">
            <v>0.5</v>
          </cell>
          <cell r="G6">
            <v>0</v>
          </cell>
        </row>
        <row r="7">
          <cell r="A7">
            <v>5</v>
          </cell>
          <cell r="B7">
            <v>0</v>
          </cell>
          <cell r="C7">
            <v>2</v>
          </cell>
          <cell r="D7" t="str">
            <v>ΝΑΟΥΜ ΝΕΦΕΛΗ</v>
          </cell>
          <cell r="E7">
            <v>0</v>
          </cell>
          <cell r="F7">
            <v>0.5</v>
          </cell>
          <cell r="G7">
            <v>0</v>
          </cell>
        </row>
        <row r="8">
          <cell r="A8">
            <v>6</v>
          </cell>
          <cell r="B8">
            <v>0</v>
          </cell>
          <cell r="C8">
            <v>5</v>
          </cell>
          <cell r="D8" t="str">
            <v>ΣΜΥΡΛΟΓΛΟΥ ΧΡΙΣΤΙΑΝΝΑ</v>
          </cell>
          <cell r="E8">
            <v>0</v>
          </cell>
          <cell r="F8">
            <v>0.5</v>
          </cell>
          <cell r="G8">
            <v>0</v>
          </cell>
        </row>
        <row r="9">
          <cell r="A9">
            <v>7</v>
          </cell>
          <cell r="B9">
            <v>0</v>
          </cell>
          <cell r="C9">
            <v>15</v>
          </cell>
          <cell r="D9" t="str">
            <v>ΠΡΕΖΑΝΗ ΑΓΓΕΛΙΚΗ</v>
          </cell>
          <cell r="E9">
            <v>0</v>
          </cell>
          <cell r="F9">
            <v>0</v>
          </cell>
          <cell r="G9">
            <v>0</v>
          </cell>
        </row>
        <row r="10">
          <cell r="A10">
            <v>8</v>
          </cell>
          <cell r="B10">
            <v>0</v>
          </cell>
          <cell r="C10">
            <v>14</v>
          </cell>
          <cell r="D10" t="str">
            <v>ΛΟΥΠΕΣΗ ΙΛΙΑΝΑ</v>
          </cell>
          <cell r="E10">
            <v>0</v>
          </cell>
          <cell r="F10">
            <v>0</v>
          </cell>
          <cell r="G10">
            <v>0</v>
          </cell>
        </row>
        <row r="11">
          <cell r="A11">
            <v>9</v>
          </cell>
          <cell r="B11">
            <v>0</v>
          </cell>
          <cell r="C11">
            <v>9</v>
          </cell>
          <cell r="D11" t="str">
            <v>ΓΡΕΚΑ ΓΕΩΡΓΙΑ-ΕΙΡΗΝΗ</v>
          </cell>
          <cell r="E11">
            <v>0</v>
          </cell>
          <cell r="F11">
            <v>0</v>
          </cell>
          <cell r="G11">
            <v>0</v>
          </cell>
        </row>
        <row r="12">
          <cell r="A12">
            <v>10</v>
          </cell>
          <cell r="B12">
            <v>0</v>
          </cell>
          <cell r="C12">
            <v>16</v>
          </cell>
          <cell r="D12" t="str">
            <v>ΤΣΑΔΑΡΗ ΙΩΑΝΝΑ</v>
          </cell>
          <cell r="E12">
            <v>0</v>
          </cell>
          <cell r="F12">
            <v>0</v>
          </cell>
          <cell r="G12">
            <v>0</v>
          </cell>
        </row>
        <row r="13">
          <cell r="A13">
            <v>11</v>
          </cell>
          <cell r="B13">
            <v>0</v>
          </cell>
          <cell r="C13">
            <v>7</v>
          </cell>
          <cell r="D13" t="str">
            <v>ΑΔΑΛΟΓΛΟΥ ΜΑΓΔΑΛΗΝΗ</v>
          </cell>
          <cell r="E13">
            <v>0</v>
          </cell>
          <cell r="F13">
            <v>0</v>
          </cell>
          <cell r="G13">
            <v>0</v>
          </cell>
        </row>
        <row r="14">
          <cell r="A14">
            <v>12</v>
          </cell>
          <cell r="B14">
            <v>0</v>
          </cell>
          <cell r="C14">
            <v>12</v>
          </cell>
          <cell r="D14" t="str">
            <v>ΚΟΥΚΟΥΒΙΤΑΚΗ ΕΛΕΑΝΝΑ</v>
          </cell>
          <cell r="E14">
            <v>0</v>
          </cell>
          <cell r="F14">
            <v>0</v>
          </cell>
          <cell r="G14">
            <v>0</v>
          </cell>
        </row>
        <row r="15">
          <cell r="A15">
            <v>13</v>
          </cell>
          <cell r="B15">
            <v>0</v>
          </cell>
          <cell r="C15">
            <v>10</v>
          </cell>
          <cell r="D15" t="str">
            <v>ΓΡΙΒΑ ΒΑΡΒΑΡΑ</v>
          </cell>
          <cell r="E15">
            <v>0</v>
          </cell>
          <cell r="F15">
            <v>0</v>
          </cell>
          <cell r="G15">
            <v>0</v>
          </cell>
        </row>
        <row r="16">
          <cell r="A16">
            <v>14</v>
          </cell>
          <cell r="B16">
            <v>0</v>
          </cell>
          <cell r="C16">
            <v>13</v>
          </cell>
          <cell r="D16" t="str">
            <v>ΚΩΤΣΑΚΗ ΑΙΚΑΤΕΡΙΝΗ</v>
          </cell>
          <cell r="E16">
            <v>0</v>
          </cell>
          <cell r="F16">
            <v>0</v>
          </cell>
          <cell r="G16">
            <v>0</v>
          </cell>
        </row>
        <row r="17">
          <cell r="A17">
            <v>15</v>
          </cell>
          <cell r="B17">
            <v>0</v>
          </cell>
          <cell r="C17">
            <v>8</v>
          </cell>
          <cell r="D17" t="str">
            <v>ΓΚΟΥΝΤΑΝΗ ΓΕΩΡΓΙΑ</v>
          </cell>
          <cell r="E17">
            <v>0</v>
          </cell>
          <cell r="F17">
            <v>0</v>
          </cell>
          <cell r="G17">
            <v>0</v>
          </cell>
        </row>
        <row r="18">
          <cell r="A18">
            <v>16</v>
          </cell>
          <cell r="B18">
            <v>0</v>
          </cell>
          <cell r="C18">
            <v>11</v>
          </cell>
          <cell r="D18" t="str">
            <v>ΚΑΝΕΛΛΟΠΟΥΛΟΥ ΜΑΡΙΛΗ</v>
          </cell>
          <cell r="E18">
            <v>0</v>
          </cell>
          <cell r="F18">
            <v>0</v>
          </cell>
          <cell r="G18">
            <v>0</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w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16</v>
          </cell>
        </row>
        <row r="17">
          <cell r="G17">
            <v>6</v>
          </cell>
          <cell r="H17">
            <v>8</v>
          </cell>
        </row>
        <row r="18">
          <cell r="B18">
            <v>0</v>
          </cell>
          <cell r="G18">
            <v>7</v>
          </cell>
          <cell r="H18">
            <v>9</v>
          </cell>
        </row>
        <row r="19">
          <cell r="B19">
            <v>4</v>
          </cell>
          <cell r="G19">
            <v>8</v>
          </cell>
          <cell r="H19">
            <v>12</v>
          </cell>
        </row>
        <row r="20">
          <cell r="G20">
            <v>9</v>
          </cell>
          <cell r="H20">
            <v>14</v>
          </cell>
        </row>
        <row r="21">
          <cell r="G21">
            <v>10</v>
          </cell>
          <cell r="H21">
            <v>13</v>
          </cell>
        </row>
        <row r="22">
          <cell r="G22">
            <v>11</v>
          </cell>
          <cell r="H22">
            <v>5</v>
          </cell>
        </row>
        <row r="23">
          <cell r="G23">
            <v>12</v>
          </cell>
          <cell r="H23">
            <v>10</v>
          </cell>
        </row>
        <row r="24">
          <cell r="B24" t="str">
            <v>ok</v>
          </cell>
          <cell r="G24">
            <v>13</v>
          </cell>
          <cell r="H24">
            <v>7</v>
          </cell>
        </row>
        <row r="25">
          <cell r="G25">
            <v>14</v>
          </cell>
          <cell r="H25">
            <v>11</v>
          </cell>
        </row>
        <row r="26">
          <cell r="G26">
            <v>15</v>
          </cell>
          <cell r="H26">
            <v>6</v>
          </cell>
        </row>
        <row r="27">
          <cell r="G27">
            <v>16</v>
          </cell>
          <cell r="H27">
            <v>15</v>
          </cell>
        </row>
      </sheetData>
      <sheetData sheetId="1">
        <row r="3">
          <cell r="A3">
            <v>1</v>
          </cell>
          <cell r="C3">
            <v>1</v>
          </cell>
          <cell r="D3" t="str">
            <v>ΧΡΙΣΤΟΦΗ ΕΛΕΝΗ</v>
          </cell>
          <cell r="F3">
            <v>18</v>
          </cell>
        </row>
        <row r="4">
          <cell r="A4">
            <v>2</v>
          </cell>
          <cell r="C4">
            <v>2</v>
          </cell>
          <cell r="D4" t="str">
            <v>ΑΝΤΩΝΑΚΗ ΕΜΜΑΝΟΥΕΛΑ</v>
          </cell>
          <cell r="F4">
            <v>12</v>
          </cell>
        </row>
        <row r="5">
          <cell r="A5">
            <v>3</v>
          </cell>
          <cell r="C5">
            <v>3</v>
          </cell>
          <cell r="D5" t="str">
            <v>ΣΤΕΦΑΝΟΥ ΑΓΝΗ</v>
          </cell>
          <cell r="F5">
            <v>6</v>
          </cell>
        </row>
        <row r="6">
          <cell r="A6">
            <v>4</v>
          </cell>
          <cell r="C6">
            <v>4</v>
          </cell>
          <cell r="D6" t="str">
            <v>ΚΑΡΒΟΥΝΗ ΒΑΣΙΛΙΚΗ</v>
          </cell>
          <cell r="F6">
            <v>5</v>
          </cell>
        </row>
        <row r="7">
          <cell r="A7">
            <v>5</v>
          </cell>
          <cell r="C7">
            <v>5</v>
          </cell>
          <cell r="D7" t="str">
            <v>ΤΣΙΑΡΑ ΙΩΑΝΝΑ</v>
          </cell>
          <cell r="F7">
            <v>5</v>
          </cell>
        </row>
        <row r="8">
          <cell r="A8">
            <v>6</v>
          </cell>
          <cell r="C8">
            <v>6</v>
          </cell>
          <cell r="D8" t="str">
            <v>ΤΣΕΛΟΥ ΑΝΑΣΤΑΣΙΑ</v>
          </cell>
          <cell r="F8">
            <v>1</v>
          </cell>
        </row>
        <row r="9">
          <cell r="A9">
            <v>7</v>
          </cell>
          <cell r="C9">
            <v>7</v>
          </cell>
          <cell r="D9" t="str">
            <v>ΣΑΡΛΗ ΟΛΓΑ</v>
          </cell>
          <cell r="F9">
            <v>0.75</v>
          </cell>
        </row>
        <row r="10">
          <cell r="A10">
            <v>8</v>
          </cell>
          <cell r="C10">
            <v>8</v>
          </cell>
          <cell r="D10" t="str">
            <v>ΚΟΚΚΟΤΑ ΑΓΓΕΛΙΚΗ</v>
          </cell>
          <cell r="F10">
            <v>0.5</v>
          </cell>
        </row>
        <row r="11">
          <cell r="A11">
            <v>9</v>
          </cell>
          <cell r="C11">
            <v>13</v>
          </cell>
          <cell r="D11" t="str">
            <v>Q</v>
          </cell>
        </row>
        <row r="12">
          <cell r="A12">
            <v>10</v>
          </cell>
          <cell r="C12">
            <v>9</v>
          </cell>
          <cell r="D12" t="str">
            <v>Q</v>
          </cell>
        </row>
        <row r="13">
          <cell r="A13">
            <v>11</v>
          </cell>
          <cell r="C13">
            <v>14</v>
          </cell>
          <cell r="D13" t="str">
            <v>Q</v>
          </cell>
        </row>
        <row r="14">
          <cell r="A14">
            <v>12</v>
          </cell>
          <cell r="C14">
            <v>12</v>
          </cell>
          <cell r="D14" t="str">
            <v>Q</v>
          </cell>
        </row>
        <row r="15">
          <cell r="A15">
            <v>13</v>
          </cell>
          <cell r="C15">
            <v>10</v>
          </cell>
          <cell r="D15" t="str">
            <v>Q</v>
          </cell>
        </row>
        <row r="16">
          <cell r="A16">
            <v>14</v>
          </cell>
          <cell r="C16">
            <v>11</v>
          </cell>
          <cell r="D16" t="str">
            <v>Q</v>
          </cell>
        </row>
        <row r="17">
          <cell r="A17">
            <v>15</v>
          </cell>
          <cell r="C17">
            <v>16</v>
          </cell>
          <cell r="D17" t="str">
            <v>Q</v>
          </cell>
        </row>
        <row r="18">
          <cell r="A18">
            <v>16</v>
          </cell>
          <cell r="C18">
            <v>15</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dw"/>
      <sheetName val="PrgPrep"/>
      <sheetName val="Day1"/>
      <sheetName val="notes"/>
      <sheetName val="tmp"/>
    </sheetNames>
    <definedNames>
      <definedName name="Sheet2pdf"/>
    </definedNames>
    <sheetDataSet>
      <sheetData sheetId="0">
        <row r="2">
          <cell r="E2">
            <v>3</v>
          </cell>
        </row>
        <row r="3">
          <cell r="B3" t="str">
            <v>Η΄ΕΝΩΣΗ</v>
          </cell>
          <cell r="E3">
            <v>4</v>
          </cell>
        </row>
        <row r="4">
          <cell r="B4" t="str">
            <v>OPEN MASTERS</v>
          </cell>
        </row>
        <row r="6">
          <cell r="B6" t="str">
            <v>Ο.Α.ΑΘΗΝΩΝ</v>
          </cell>
        </row>
        <row r="7">
          <cell r="B7" t="str">
            <v>dw</v>
          </cell>
        </row>
        <row r="8">
          <cell r="B8" t="str">
            <v>13</v>
          </cell>
        </row>
        <row r="9">
          <cell r="B9" t="str">
            <v>22 Νοε</v>
          </cell>
        </row>
        <row r="10">
          <cell r="B10" t="str">
            <v>Ταμπόση Τα.</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0</v>
          </cell>
          <cell r="H17">
            <v>0</v>
          </cell>
        </row>
        <row r="18">
          <cell r="B18">
            <v>6</v>
          </cell>
          <cell r="G18">
            <v>1</v>
          </cell>
          <cell r="H18">
            <v>1</v>
          </cell>
        </row>
        <row r="19">
          <cell r="B19">
            <v>4</v>
          </cell>
          <cell r="G19">
            <v>2</v>
          </cell>
          <cell r="H19">
            <v>2</v>
          </cell>
        </row>
        <row r="20">
          <cell r="G20">
            <v>3</v>
          </cell>
          <cell r="H20">
            <v>3</v>
          </cell>
        </row>
        <row r="21">
          <cell r="G21">
            <v>4</v>
          </cell>
          <cell r="H21">
            <v>4</v>
          </cell>
        </row>
        <row r="22">
          <cell r="G22">
            <v>5</v>
          </cell>
          <cell r="H22">
            <v>6</v>
          </cell>
        </row>
        <row r="23">
          <cell r="G23">
            <v>6</v>
          </cell>
          <cell r="H23">
            <v>7</v>
          </cell>
        </row>
        <row r="24">
          <cell r="B24" t="str">
            <v>ok</v>
          </cell>
          <cell r="G24">
            <v>7</v>
          </cell>
          <cell r="H24">
            <v>10</v>
          </cell>
        </row>
        <row r="25">
          <cell r="G25">
            <v>8</v>
          </cell>
          <cell r="H25">
            <v>8</v>
          </cell>
        </row>
        <row r="26">
          <cell r="G26">
            <v>9</v>
          </cell>
          <cell r="H26">
            <v>9</v>
          </cell>
        </row>
        <row r="27">
          <cell r="G27">
            <v>10</v>
          </cell>
          <cell r="H27">
            <v>5</v>
          </cell>
        </row>
      </sheetData>
      <sheetData sheetId="1">
        <row r="3">
          <cell r="A3">
            <v>1</v>
          </cell>
          <cell r="B3">
            <v>24</v>
          </cell>
          <cell r="C3">
            <v>1</v>
          </cell>
          <cell r="D3" t="str">
            <v>ΣΤΕΦΑΝΟΥ ΑΓΝΗ</v>
          </cell>
          <cell r="G3">
            <v>11</v>
          </cell>
          <cell r="H3" t="str">
            <v>ΧΡΙΣΤΟΦΗ ΕΛΕΝΑ</v>
          </cell>
        </row>
        <row r="4">
          <cell r="A4">
            <v>2</v>
          </cell>
          <cell r="B4">
            <v>1.5</v>
          </cell>
          <cell r="C4">
            <v>2</v>
          </cell>
          <cell r="D4" t="str">
            <v>ΝΙΚΟΛΟΠΟΥΛΟΥ ΝΑΤΑΛΙΑ</v>
          </cell>
          <cell r="G4">
            <v>12</v>
          </cell>
          <cell r="H4" t="str">
            <v>ΤΣΕΛΟΥ ΑΘΑΝΑΣΙΑ</v>
          </cell>
        </row>
        <row r="5">
          <cell r="A5">
            <v>3</v>
          </cell>
          <cell r="B5">
            <v>1</v>
          </cell>
          <cell r="C5">
            <v>3</v>
          </cell>
          <cell r="D5" t="str">
            <v>ΛΑΘΟΥΡΗ ΙΩΑΝΝΑ</v>
          </cell>
          <cell r="G5">
            <v>13</v>
          </cell>
          <cell r="H5" t="str">
            <v>ΑΓΓΕΛΑΤΟΥ ΑΝΑΣΤΑΣΙΑ</v>
          </cell>
        </row>
        <row r="6">
          <cell r="A6">
            <v>4</v>
          </cell>
          <cell r="C6">
            <v>4</v>
          </cell>
          <cell r="D6" t="str">
            <v>ΚΑΠΛΑΝΗ ΑΣΗΜΙΝΑ</v>
          </cell>
          <cell r="G6">
            <v>14</v>
          </cell>
          <cell r="H6" t="str">
            <v>ΡΟΥΣΣΗ ΕΥΑ</v>
          </cell>
        </row>
        <row r="7">
          <cell r="A7">
            <v>5</v>
          </cell>
          <cell r="C7">
            <v>5</v>
          </cell>
          <cell r="D7" t="str">
            <v>ΠΡΕΖΑΝΗ ΑΓΓΕΛΙΚΗ</v>
          </cell>
          <cell r="G7">
            <v>15</v>
          </cell>
          <cell r="H7" t="str">
            <v>ΒΑΣΙΛΕΙΑΔΗ ΕΒΙΤΑ</v>
          </cell>
        </row>
        <row r="8">
          <cell r="A8">
            <v>6</v>
          </cell>
          <cell r="C8">
            <v>6</v>
          </cell>
          <cell r="D8" t="str">
            <v>ΑΔΑΛΟΓΛΟΥ ΜΑΓΔΑΛΗΝΗ</v>
          </cell>
          <cell r="G8">
            <v>16</v>
          </cell>
          <cell r="H8" t="str">
            <v>ΚΩΤΣΑΚΗ ΑΙΚΑΤΕΡΙΝΗ</v>
          </cell>
        </row>
        <row r="9">
          <cell r="A9">
            <v>7</v>
          </cell>
          <cell r="C9">
            <v>7</v>
          </cell>
          <cell r="D9" t="str">
            <v>ΜΑΡΓΑΡΙΤΗ ΣΥΛΒΙΑ</v>
          </cell>
          <cell r="G9">
            <v>17</v>
          </cell>
          <cell r="H9" t="str">
            <v>ΠΑΠΑΔΗΜΗΤΡΙΟΥ ΕΥΑ</v>
          </cell>
        </row>
        <row r="10">
          <cell r="A10">
            <v>8</v>
          </cell>
          <cell r="C10">
            <v>8</v>
          </cell>
          <cell r="D10" t="str">
            <v>ΓΡΙΒΑ ΒΑΡΒΑΡΑ</v>
          </cell>
          <cell r="G10">
            <v>18</v>
          </cell>
          <cell r="H10" t="str">
            <v>ΑΝΤΩΝΑΚΗ ΕΜΜΑΝΟΥΕΛΑ</v>
          </cell>
        </row>
        <row r="11">
          <cell r="A11">
            <v>9</v>
          </cell>
          <cell r="C11">
            <v>9</v>
          </cell>
          <cell r="D11" t="str">
            <v>ΑΔΑΜΟΠΟΥΛΟΥ ΜΑΡΙΑ</v>
          </cell>
          <cell r="G11">
            <v>19</v>
          </cell>
          <cell r="H11" t="str">
            <v>ΠΡΕΚΟΥΠ ΓΚΑΜΠΡΙΕΛΑ</v>
          </cell>
        </row>
        <row r="12">
          <cell r="A12">
            <v>10</v>
          </cell>
          <cell r="C12">
            <v>10</v>
          </cell>
          <cell r="D12" t="str">
            <v>ΖΕΡΒΑ ΑΓΓΕΛΙΚΗ</v>
          </cell>
          <cell r="G12">
            <v>20</v>
          </cell>
          <cell r="H12" t="str">
            <v>ΠΑΡΑΒΑΛΟΥ ΣΟΦΙΑ</v>
          </cell>
        </row>
        <row r="13">
          <cell r="A13">
            <v>11</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ΔΜ"/>
      <sheetName val="PrgPrep"/>
      <sheetName val="Day1"/>
      <sheetName val="Day2"/>
      <sheetName val="notes"/>
      <sheetName val="tmp"/>
    </sheetNames>
    <sheetDataSet>
      <sheetData sheetId="0">
        <row r="2">
          <cell r="E2">
            <v>3</v>
          </cell>
          <cell r="K2">
            <v>0</v>
          </cell>
          <cell r="L2">
            <v>0</v>
          </cell>
        </row>
        <row r="3">
          <cell r="B3" t="str">
            <v>Η΄ΕΝΩΣΗ</v>
          </cell>
          <cell r="E3">
            <v>4</v>
          </cell>
          <cell r="K3">
            <v>0</v>
          </cell>
          <cell r="L3">
            <v>0</v>
          </cell>
        </row>
        <row r="4">
          <cell r="B4" t="str">
            <v>OPEN MASTERS</v>
          </cell>
          <cell r="K4">
            <v>0</v>
          </cell>
          <cell r="L4">
            <v>0</v>
          </cell>
        </row>
        <row r="5">
          <cell r="E5" t="str">
            <v>8</v>
          </cell>
          <cell r="K5">
            <v>0</v>
          </cell>
          <cell r="L5">
            <v>0</v>
          </cell>
        </row>
        <row r="6">
          <cell r="B6" t="str">
            <v>Ο.Α.ΑΘΗΝΩΝ</v>
          </cell>
          <cell r="E6" t="str">
            <v>6</v>
          </cell>
          <cell r="K6">
            <v>0</v>
          </cell>
          <cell r="L6">
            <v>0</v>
          </cell>
        </row>
        <row r="7">
          <cell r="B7" t="str">
            <v>dm</v>
          </cell>
          <cell r="E7" t="str">
            <v>7</v>
          </cell>
          <cell r="K7">
            <v>0</v>
          </cell>
          <cell r="L7">
            <v>0</v>
          </cell>
        </row>
        <row r="8">
          <cell r="B8" t="str">
            <v>13</v>
          </cell>
          <cell r="E8" t="str">
            <v>5</v>
          </cell>
          <cell r="K8">
            <v>0</v>
          </cell>
          <cell r="L8">
            <v>0</v>
          </cell>
        </row>
        <row r="9">
          <cell r="B9" t="str">
            <v>22 Νοε</v>
          </cell>
          <cell r="K9">
            <v>0</v>
          </cell>
          <cell r="L9">
            <v>0</v>
          </cell>
        </row>
        <row r="10">
          <cell r="B10" t="str">
            <v>Ταμπόση Τ.</v>
          </cell>
          <cell r="K10">
            <v>0</v>
          </cell>
          <cell r="L10">
            <v>0</v>
          </cell>
        </row>
        <row r="11">
          <cell r="K11">
            <v>0</v>
          </cell>
          <cell r="L11">
            <v>0</v>
          </cell>
        </row>
        <row r="12">
          <cell r="K12">
            <v>0</v>
          </cell>
          <cell r="L12">
            <v>0</v>
          </cell>
        </row>
        <row r="13">
          <cell r="K13">
            <v>0</v>
          </cell>
          <cell r="L13">
            <v>0</v>
          </cell>
        </row>
        <row r="14">
          <cell r="K14">
            <v>0</v>
          </cell>
          <cell r="L14">
            <v>0</v>
          </cell>
        </row>
        <row r="15">
          <cell r="K15">
            <v>0</v>
          </cell>
          <cell r="L15">
            <v>0</v>
          </cell>
        </row>
        <row r="16">
          <cell r="K16">
            <v>1</v>
          </cell>
          <cell r="L16">
            <v>1</v>
          </cell>
        </row>
        <row r="17">
          <cell r="K17">
            <v>2</v>
          </cell>
          <cell r="L17">
            <v>2</v>
          </cell>
        </row>
        <row r="18">
          <cell r="B18">
            <v>14</v>
          </cell>
          <cell r="K18">
            <v>3</v>
          </cell>
          <cell r="L18">
            <v>3</v>
          </cell>
        </row>
        <row r="19">
          <cell r="B19">
            <v>8</v>
          </cell>
          <cell r="K19">
            <v>4</v>
          </cell>
          <cell r="L19">
            <v>4</v>
          </cell>
        </row>
        <row r="20">
          <cell r="K20">
            <v>5</v>
          </cell>
          <cell r="L20">
            <v>5</v>
          </cell>
        </row>
        <row r="21">
          <cell r="K21">
            <v>6</v>
          </cell>
          <cell r="L21">
            <v>6</v>
          </cell>
        </row>
        <row r="22">
          <cell r="K22">
            <v>7</v>
          </cell>
          <cell r="L22">
            <v>7</v>
          </cell>
        </row>
        <row r="23">
          <cell r="K23">
            <v>8</v>
          </cell>
          <cell r="L23">
            <v>8</v>
          </cell>
        </row>
        <row r="24">
          <cell r="B24" t="str">
            <v>ok</v>
          </cell>
          <cell r="K24">
            <v>9</v>
          </cell>
          <cell r="L24">
            <v>13</v>
          </cell>
        </row>
        <row r="25">
          <cell r="K25">
            <v>10</v>
          </cell>
          <cell r="L25">
            <v>12</v>
          </cell>
        </row>
        <row r="26">
          <cell r="K26">
            <v>11</v>
          </cell>
          <cell r="L26">
            <v>15</v>
          </cell>
        </row>
        <row r="27">
          <cell r="K27">
            <v>12</v>
          </cell>
          <cell r="L27">
            <v>9</v>
          </cell>
        </row>
        <row r="28">
          <cell r="K28">
            <v>13</v>
          </cell>
          <cell r="L28">
            <v>14</v>
          </cell>
        </row>
        <row r="29">
          <cell r="K29">
            <v>14</v>
          </cell>
          <cell r="L29">
            <v>10</v>
          </cell>
        </row>
        <row r="30">
          <cell r="K30">
            <v>15</v>
          </cell>
          <cell r="L30">
            <v>18</v>
          </cell>
        </row>
        <row r="31">
          <cell r="K31">
            <v>16</v>
          </cell>
          <cell r="L31">
            <v>16</v>
          </cell>
        </row>
        <row r="32">
          <cell r="K32">
            <v>17</v>
          </cell>
          <cell r="L32">
            <v>11</v>
          </cell>
        </row>
        <row r="33">
          <cell r="K33">
            <v>18</v>
          </cell>
          <cell r="L33">
            <v>17</v>
          </cell>
        </row>
      </sheetData>
      <sheetData sheetId="1">
        <row r="3">
          <cell r="A3">
            <v>1</v>
          </cell>
          <cell r="B3">
            <v>22</v>
          </cell>
          <cell r="C3">
            <v>1</v>
          </cell>
          <cell r="D3" t="str">
            <v>ΑΓΓΕΛΙΝΟΣ ΘΟΔΩΡΗΣ</v>
          </cell>
          <cell r="G3">
            <v>18</v>
          </cell>
          <cell r="H3" t="str">
            <v>ΓΕΜΟΥΧΙΔΗΣ ΠΑΡΙΣ</v>
          </cell>
        </row>
        <row r="4">
          <cell r="A4">
            <v>2</v>
          </cell>
          <cell r="B4">
            <v>4</v>
          </cell>
          <cell r="C4">
            <v>35</v>
          </cell>
          <cell r="D4" t="str">
            <v>ΒΕΡΜΠΗΣ ΘΑΝΑΣΗΣ</v>
          </cell>
          <cell r="G4">
            <v>36</v>
          </cell>
          <cell r="H4" t="str">
            <v>ΠΑΠΑΧΡΙΣΤΟΠΟΥΛΟΣ ΦΙΛΙΠΠΟΣ</v>
          </cell>
        </row>
        <row r="5">
          <cell r="A5">
            <v>3</v>
          </cell>
          <cell r="B5">
            <v>3</v>
          </cell>
          <cell r="C5">
            <v>2</v>
          </cell>
          <cell r="D5" t="str">
            <v>ΣΤΕΡΓΙΟΥ ΘΑΝΑΣΗΣ</v>
          </cell>
          <cell r="G5">
            <v>19</v>
          </cell>
          <cell r="H5" t="str">
            <v>ΠΑΥΛΗΣ ΑΝΑΣΤΑΣΙΟΣ</v>
          </cell>
        </row>
        <row r="6">
          <cell r="A6">
            <v>4</v>
          </cell>
          <cell r="B6">
            <v>1.5</v>
          </cell>
          <cell r="C6">
            <v>3</v>
          </cell>
          <cell r="D6" t="str">
            <v>ΣΑΚΕΛΛΑΡΙΔΗΣ ΜΙΧΑΛΗΣ</v>
          </cell>
          <cell r="G6">
            <v>20</v>
          </cell>
          <cell r="H6" t="str">
            <v>ΝΙΑΡΧΟΣ ΝΙΚΗΤΑΣ</v>
          </cell>
        </row>
        <row r="7">
          <cell r="A7">
            <v>5</v>
          </cell>
          <cell r="B7">
            <v>1</v>
          </cell>
          <cell r="C7">
            <v>5</v>
          </cell>
          <cell r="D7" t="str">
            <v>ΣΗΜΑΙΟΦΟΡΙΔΗΣ ΧΑΡΗΣ</v>
          </cell>
          <cell r="G7">
            <v>22</v>
          </cell>
          <cell r="H7" t="str">
            <v>ΓΛΕΖΟΣ ΜΑΝΩΛΗΣ</v>
          </cell>
        </row>
        <row r="8">
          <cell r="A8">
            <v>6</v>
          </cell>
          <cell r="B8">
            <v>1</v>
          </cell>
          <cell r="C8">
            <v>6</v>
          </cell>
          <cell r="D8" t="str">
            <v>ΒΕΝΕΤΗΣ ΤΑΣΟΣ</v>
          </cell>
          <cell r="G8">
            <v>23</v>
          </cell>
          <cell r="H8" t="str">
            <v>ΑΝΔΡΟΥΤΣΕΛΗΣ ΓΙΑΝΝΗΣ</v>
          </cell>
        </row>
        <row r="9">
          <cell r="A9">
            <v>7</v>
          </cell>
          <cell r="B9">
            <v>1</v>
          </cell>
          <cell r="C9">
            <v>4</v>
          </cell>
          <cell r="D9" t="str">
            <v>ΣΤΑΥΡΙΔΗΣ ΓΙΑΝΝΗΣ</v>
          </cell>
          <cell r="G9">
            <v>21</v>
          </cell>
          <cell r="H9" t="str">
            <v>ΚΟΚΟΤΑΣ ΝΙΚΟΛΑΟΣ</v>
          </cell>
        </row>
        <row r="10">
          <cell r="A10">
            <v>8</v>
          </cell>
          <cell r="B10">
            <v>0.85</v>
          </cell>
          <cell r="C10">
            <v>7</v>
          </cell>
          <cell r="D10" t="str">
            <v>ΠΑΠΑΪΩΑΝΝΟΥ ΓΙΑΝΝΗΣ</v>
          </cell>
          <cell r="G10">
            <v>24</v>
          </cell>
          <cell r="H10" t="str">
            <v>ΠΑΠΑΓΕΩΡΓΙΟΥ ΓΙΩΡΓΟΣ</v>
          </cell>
        </row>
        <row r="11">
          <cell r="A11">
            <v>9</v>
          </cell>
          <cell r="B11">
            <v>0.75</v>
          </cell>
          <cell r="C11">
            <v>9</v>
          </cell>
          <cell r="D11" t="str">
            <v>ΜΠΙΣΜΠΙΚΟΣ ΝΙΚΟΛΑΣ</v>
          </cell>
          <cell r="G11">
            <v>26</v>
          </cell>
          <cell r="H11" t="str">
            <v>ΜΠΙΣΜΠΙΚΟΣ ΠΙΕΡ</v>
          </cell>
        </row>
        <row r="12">
          <cell r="A12">
            <v>10</v>
          </cell>
          <cell r="B12">
            <v>0.75</v>
          </cell>
          <cell r="C12">
            <v>8</v>
          </cell>
          <cell r="D12" t="str">
            <v>ΜΟΥΡΑΤΟΓΛΟΥ ΑΡΙΣΤΟΤΕΛΗΣ</v>
          </cell>
          <cell r="G12">
            <v>25</v>
          </cell>
          <cell r="H12" t="str">
            <v>ΚΩΤΣΗΡΑΣ ΓΙΩΡΓΟΣ</v>
          </cell>
        </row>
        <row r="13">
          <cell r="A13">
            <v>11</v>
          </cell>
          <cell r="B13">
            <v>0.5</v>
          </cell>
          <cell r="C13">
            <v>10</v>
          </cell>
          <cell r="D13" t="str">
            <v>ΧΟΛΕΒΑΣ ΣΩΤΗΡΙΟΣ</v>
          </cell>
          <cell r="G13">
            <v>27</v>
          </cell>
          <cell r="H13" t="str">
            <v>ΚΑΒΑΛΛΑΣ ΘΟΔΩΡΗΣ</v>
          </cell>
        </row>
        <row r="14">
          <cell r="A14">
            <v>12</v>
          </cell>
          <cell r="B14">
            <v>0.5</v>
          </cell>
          <cell r="C14">
            <v>11</v>
          </cell>
          <cell r="D14" t="str">
            <v>ΒΟΪΝΕΑ ΑΛΕΞΑΝΔΡΟΣ</v>
          </cell>
          <cell r="G14">
            <v>28</v>
          </cell>
          <cell r="H14" t="str">
            <v>ΚΑΠΙΡΗΣ ΣΤΑΜΑΤΗΣ</v>
          </cell>
        </row>
        <row r="15">
          <cell r="A15">
            <v>13</v>
          </cell>
          <cell r="B15">
            <v>0.1</v>
          </cell>
          <cell r="C15">
            <v>12</v>
          </cell>
          <cell r="D15" t="str">
            <v>ΗΛΙΟΠΟΥΛΟΣ ΚΩΝΣΤΑΝΤΙΝΟΣ</v>
          </cell>
          <cell r="G15">
            <v>29</v>
          </cell>
          <cell r="H15" t="str">
            <v>ΛΑΖΑΡΑΚΗΣ ΓΙΩΡΓΟΣ</v>
          </cell>
        </row>
        <row r="16">
          <cell r="A16">
            <v>14</v>
          </cell>
          <cell r="C16">
            <v>16</v>
          </cell>
          <cell r="D16" t="str">
            <v>ΠΕΡΔΙΚΟΓΙΑΝΝΗΣ ΣΤΕΛΙΟΣ</v>
          </cell>
          <cell r="G16">
            <v>33</v>
          </cell>
          <cell r="H16" t="str">
            <v>ΣΚΑΛΙΔΑΚΗΣ ΔΗΜΗΤΡΗΣ</v>
          </cell>
        </row>
        <row r="17">
          <cell r="A17">
            <v>15</v>
          </cell>
          <cell r="C17">
            <v>14</v>
          </cell>
          <cell r="D17" t="str">
            <v>ΚΑΖΑΝΤΖΗΣ ΜΙΧΑΛΗΣ-ΤΟΥΒ</v>
          </cell>
          <cell r="G17">
            <v>31</v>
          </cell>
          <cell r="H17" t="str">
            <v>ΚΑΠΤΕΚΙ ΑΛΕΞΑΝΔΡΟΣ</v>
          </cell>
        </row>
        <row r="18">
          <cell r="A18">
            <v>16</v>
          </cell>
          <cell r="C18">
            <v>13</v>
          </cell>
          <cell r="D18" t="str">
            <v>ΚΟΥΜΙΔΗΣ ΙΑΣΟΝΑΣ</v>
          </cell>
          <cell r="G18">
            <v>30</v>
          </cell>
          <cell r="H18" t="str">
            <v>ΚΟΥΜΙΔΗΣ ΧΡΗΣΤΟΣ</v>
          </cell>
        </row>
        <row r="19">
          <cell r="A19">
            <v>17</v>
          </cell>
          <cell r="C19">
            <v>15</v>
          </cell>
          <cell r="D19" t="str">
            <v>ΚΑΛΟΓΕΡΟΠΟΥΛΟΣ ΠΑΝΑΓΙΩΤΗΣ</v>
          </cell>
          <cell r="G19">
            <v>32</v>
          </cell>
          <cell r="H19" t="str">
            <v>ΤΕΝΕΝΤΕΣ ΧΡΗΣΤΟΣ</v>
          </cell>
        </row>
        <row r="20">
          <cell r="A20">
            <v>18</v>
          </cell>
          <cell r="C20">
            <v>17</v>
          </cell>
          <cell r="D20" t="str">
            <v>DIRZU ANDREI</v>
          </cell>
          <cell r="G20">
            <v>34</v>
          </cell>
          <cell r="H20" t="str">
            <v>ΛΑΜΠΡΟΠΟΥΛΟΣ ΔΙΟΝΥΣΗΣ</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ΜΙΧ"/>
      <sheetName val="PrgPrep"/>
      <sheetName val="Day1"/>
      <sheetName val="notes"/>
      <sheetName val="tmp"/>
    </sheetNames>
    <definedNames>
      <definedName name="Sheet2pdf"/>
    </definedNames>
    <sheetDataSet>
      <sheetData sheetId="0">
        <row r="2">
          <cell r="E2">
            <v>4</v>
          </cell>
        </row>
        <row r="3">
          <cell r="B3" t="str">
            <v>Η΄ΕΝΩΣΗ</v>
          </cell>
          <cell r="E3">
            <v>3</v>
          </cell>
        </row>
        <row r="4">
          <cell r="B4" t="str">
            <v>OPEN MASTERS</v>
          </cell>
        </row>
        <row r="6">
          <cell r="B6" t="str">
            <v>Ο.Α.ΑΘΗΝΩΝ</v>
          </cell>
        </row>
        <row r="7">
          <cell r="B7" t="str">
            <v>mix</v>
          </cell>
        </row>
        <row r="8">
          <cell r="B8" t="str">
            <v>13</v>
          </cell>
        </row>
        <row r="9">
          <cell r="B9" t="str">
            <v>22 Νοε</v>
          </cell>
        </row>
        <row r="10">
          <cell r="B10" t="str">
            <v>Τ. Ταμπόση</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1</v>
          </cell>
          <cell r="H17">
            <v>1</v>
          </cell>
        </row>
        <row r="18">
          <cell r="B18">
            <v>5</v>
          </cell>
          <cell r="G18">
            <v>2</v>
          </cell>
          <cell r="H18">
            <v>2</v>
          </cell>
        </row>
        <row r="19">
          <cell r="B19">
            <v>4</v>
          </cell>
          <cell r="G19">
            <v>3</v>
          </cell>
          <cell r="H19">
            <v>3</v>
          </cell>
        </row>
        <row r="20">
          <cell r="G20">
            <v>4</v>
          </cell>
          <cell r="H20">
            <v>4</v>
          </cell>
        </row>
        <row r="21">
          <cell r="G21">
            <v>5</v>
          </cell>
          <cell r="H21">
            <v>7</v>
          </cell>
        </row>
        <row r="22">
          <cell r="G22">
            <v>6</v>
          </cell>
          <cell r="H22">
            <v>6</v>
          </cell>
        </row>
        <row r="23">
          <cell r="G23">
            <v>7</v>
          </cell>
          <cell r="H23">
            <v>10</v>
          </cell>
        </row>
        <row r="24">
          <cell r="B24" t="str">
            <v>ok</v>
          </cell>
          <cell r="G24">
            <v>8</v>
          </cell>
          <cell r="H24">
            <v>9</v>
          </cell>
        </row>
        <row r="25">
          <cell r="G25">
            <v>9</v>
          </cell>
          <cell r="H25">
            <v>5</v>
          </cell>
        </row>
        <row r="26">
          <cell r="G26">
            <v>10</v>
          </cell>
          <cell r="H26">
            <v>11</v>
          </cell>
        </row>
        <row r="27">
          <cell r="G27">
            <v>11</v>
          </cell>
          <cell r="H27">
            <v>8</v>
          </cell>
        </row>
      </sheetData>
      <sheetData sheetId="1">
        <row r="3">
          <cell r="A3">
            <v>1</v>
          </cell>
          <cell r="B3">
            <v>18</v>
          </cell>
          <cell r="C3">
            <v>1</v>
          </cell>
          <cell r="D3" t="str">
            <v>ΚΟΚΚΟΤΑ ΑΓΓΕΛΙΚΗ</v>
          </cell>
          <cell r="G3">
            <v>12</v>
          </cell>
          <cell r="H3" t="str">
            <v>ΓΕΜΟΥΧΙΔΗΣ ΠΑΡΙΣ</v>
          </cell>
        </row>
        <row r="4">
          <cell r="A4">
            <v>2</v>
          </cell>
          <cell r="B4">
            <v>12</v>
          </cell>
          <cell r="C4">
            <v>2</v>
          </cell>
          <cell r="D4" t="str">
            <v>ΑΝΤΩΝΑΚΗ ΕΜΜΑΝΟΥΕΛΑ</v>
          </cell>
          <cell r="G4">
            <v>13</v>
          </cell>
          <cell r="H4" t="str">
            <v>ΣΗΜΑΙΟΦΟΡΙΔΗΣ ΧΑΡΗΣ</v>
          </cell>
        </row>
        <row r="5">
          <cell r="A5">
            <v>3</v>
          </cell>
          <cell r="B5">
            <v>7</v>
          </cell>
          <cell r="C5">
            <v>3</v>
          </cell>
          <cell r="D5" t="str">
            <v>ΣΤΕΦΑΝΟΥ ΑΓΝΗ</v>
          </cell>
          <cell r="G5">
            <v>14</v>
          </cell>
          <cell r="H5" t="str">
            <v>ΓΛΕΖΟΣ ΜΑΝΩΛΗΣ</v>
          </cell>
        </row>
        <row r="6">
          <cell r="A6">
            <v>4</v>
          </cell>
          <cell r="B6">
            <v>1.5</v>
          </cell>
          <cell r="C6">
            <v>4</v>
          </cell>
          <cell r="D6" t="str">
            <v>ΝΙΚΟΛΟΠΟΥΛΟΥ ΝΑΤΑΛΙΑ</v>
          </cell>
          <cell r="G6">
            <v>15</v>
          </cell>
          <cell r="H6" t="str">
            <v>ΚΟΚΚΟΤΑΣ ΝΙΚΟΣ</v>
          </cell>
        </row>
        <row r="7">
          <cell r="A7">
            <v>5</v>
          </cell>
          <cell r="B7">
            <v>1</v>
          </cell>
          <cell r="C7">
            <v>5</v>
          </cell>
          <cell r="D7" t="str">
            <v>ΚΑΠΛΑΝΗ ΜΙΝΑ</v>
          </cell>
          <cell r="G7">
            <v>16</v>
          </cell>
          <cell r="H7" t="str">
            <v>ΠΑΠΑΧΡΙΣΤΟΠΟΥΛΟΣ ΦΙΛΙΠΠΟΣ</v>
          </cell>
        </row>
        <row r="8">
          <cell r="A8">
            <v>6</v>
          </cell>
          <cell r="B8">
            <v>0.85</v>
          </cell>
          <cell r="C8">
            <v>6</v>
          </cell>
          <cell r="D8" t="str">
            <v>ΣΑΡΛΗ ΟΛΓΑ</v>
          </cell>
          <cell r="G8">
            <v>17</v>
          </cell>
          <cell r="H8" t="str">
            <v>ΔΗΜΑΣ ΑΛΕΞΙΟΣ</v>
          </cell>
        </row>
        <row r="9">
          <cell r="A9">
            <v>7</v>
          </cell>
          <cell r="B9">
            <v>0.5</v>
          </cell>
          <cell r="C9">
            <v>7</v>
          </cell>
          <cell r="D9" t="str">
            <v>ΑΔΑΛΟΓΛΟΥ ΜΑΓΔΑΛΗΝΗ</v>
          </cell>
          <cell r="G9">
            <v>18</v>
          </cell>
          <cell r="H9" t="str">
            <v>ΤΡΙΑΝΤΗΣ ΦΩΤΗΣ</v>
          </cell>
        </row>
        <row r="10">
          <cell r="A10">
            <v>8</v>
          </cell>
          <cell r="B10">
            <v>0.1</v>
          </cell>
          <cell r="C10">
            <v>8</v>
          </cell>
          <cell r="D10" t="str">
            <v>ΤΣΕΛΟΥ ΝΑΣΙΑ</v>
          </cell>
          <cell r="G10">
            <v>19</v>
          </cell>
          <cell r="H10" t="str">
            <v>ΠΑΠΑΪΩΑΝΝΟΥ ΓΙΑΝΝΗΣ</v>
          </cell>
        </row>
        <row r="11">
          <cell r="A11">
            <v>9</v>
          </cell>
          <cell r="C11">
            <v>10</v>
          </cell>
          <cell r="D11" t="str">
            <v>ΠΑΠΑΔΗΜΗΤΡΙΟΥ ΕΥΑ</v>
          </cell>
          <cell r="G11">
            <v>21</v>
          </cell>
          <cell r="H11" t="str">
            <v>ΨΑΡΟΓΙΑΝΝΗΣ ΘΕΜΗΣ</v>
          </cell>
        </row>
        <row r="12">
          <cell r="A12">
            <v>10</v>
          </cell>
          <cell r="C12">
            <v>11</v>
          </cell>
          <cell r="D12" t="str">
            <v>ΡΟΥΣΣΗ ΕΥΑ</v>
          </cell>
          <cell r="G12">
            <v>22</v>
          </cell>
          <cell r="H12" t="str">
            <v>ΚΟΡΑΚΑΣ ΤΑΣΟΣ</v>
          </cell>
        </row>
        <row r="13">
          <cell r="A13">
            <v>11</v>
          </cell>
          <cell r="C13">
            <v>9</v>
          </cell>
          <cell r="D13" t="str">
            <v>MΑΡΓΑΡΙΤΗ ΣΥΛΒΙΑ</v>
          </cell>
          <cell r="G13">
            <v>20</v>
          </cell>
          <cell r="H13" t="str">
            <v>ΔΕΣΠΟΤΑΚΗΣ ΜΑΡΚΟΣ</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15"/>
  <sheetViews>
    <sheetView showGridLines="0" showZeros="0" tabSelected="1" zoomScaleNormal="100" workbookViewId="0">
      <pane ySplit="1" topLeftCell="A2" activePane="bottomLeft" state="frozen"/>
      <selection pane="bottomLeft" activeCell="M7" sqref="M7"/>
    </sheetView>
  </sheetViews>
  <sheetFormatPr defaultColWidth="8.85546875" defaultRowHeight="10.5" x14ac:dyDescent="0.2"/>
  <cols>
    <col min="1" max="1" width="2.42578125" style="6" bestFit="1" customWidth="1"/>
    <col min="2" max="2" width="8.5703125" style="6" hidden="1" customWidth="1"/>
    <col min="3" max="3" width="6.28515625" style="6" hidden="1" customWidth="1"/>
    <col min="4" max="4" width="5.7109375" style="6" hidden="1" customWidth="1"/>
    <col min="5" max="5" width="5" style="6" hidden="1" customWidth="1"/>
    <col min="6" max="6" width="3.140625" style="6" bestFit="1" customWidth="1"/>
    <col min="7" max="7" width="6.5703125" style="6" bestFit="1" customWidth="1"/>
    <col min="8" max="8" width="4.7109375" style="6" customWidth="1"/>
    <col min="9" max="9" width="6" style="8" bestFit="1" customWidth="1"/>
    <col min="10" max="10" width="30.7109375" style="3" customWidth="1"/>
    <col min="11" max="11" width="16.85546875" style="99" hidden="1" customWidth="1"/>
    <col min="12" max="12" width="6.140625" style="3" customWidth="1"/>
    <col min="13" max="13" width="1.42578125" style="100" bestFit="1" customWidth="1"/>
    <col min="14" max="14" width="15.7109375" style="3" customWidth="1"/>
    <col min="15" max="15" width="1.42578125" style="35" bestFit="1" customWidth="1"/>
    <col min="16" max="16" width="15.7109375" style="3" customWidth="1"/>
    <col min="17" max="17" width="1.42578125" style="35" bestFit="1" customWidth="1"/>
    <col min="18" max="18" width="15.7109375" style="34" customWidth="1"/>
    <col min="19" max="19" width="1.42578125" style="33" bestFit="1" customWidth="1"/>
    <col min="20" max="20" width="15.7109375" style="34" customWidth="1"/>
    <col min="21" max="16384" width="8.85546875" style="3"/>
  </cols>
  <sheetData>
    <row r="1" spans="1:20" ht="18" x14ac:dyDescent="0.2">
      <c r="A1" s="303" t="str">
        <f>[1]Setup!B3&amp;", "&amp;[1]Setup!B4&amp;", "&amp;[1]Setup!B6&amp;", "&amp;[1]Setup!B8&amp;"-"&amp;[1]Setup!B9</f>
        <v>Η΄ΕΝΩΣΗ, OPEN MASTERS, Ο.Α.ΑΘΗΝΩΝ, 13-22 Νοε</v>
      </c>
      <c r="B1" s="303"/>
      <c r="C1" s="303"/>
      <c r="D1" s="303"/>
      <c r="E1" s="303"/>
      <c r="F1" s="303"/>
      <c r="G1" s="303"/>
      <c r="H1" s="303"/>
      <c r="I1" s="303"/>
      <c r="J1" s="303"/>
      <c r="K1" s="303"/>
      <c r="L1" s="303"/>
      <c r="M1" s="303"/>
      <c r="N1" s="303"/>
      <c r="O1" s="303"/>
      <c r="P1" s="303"/>
      <c r="Q1" s="303"/>
      <c r="R1" s="303"/>
      <c r="S1" s="1"/>
      <c r="T1" s="2" t="str">
        <f>[1]Setup!B7</f>
        <v>men q</v>
      </c>
    </row>
    <row r="2" spans="1:20" x14ac:dyDescent="0.2">
      <c r="A2" s="4"/>
      <c r="B2" s="5">
        <f>[1]Setup!B18</f>
        <v>1</v>
      </c>
      <c r="C2" s="5"/>
      <c r="D2" s="5"/>
      <c r="E2" s="5"/>
      <c r="G2" s="7"/>
      <c r="H2" s="7"/>
      <c r="I2" s="7"/>
      <c r="J2" s="7"/>
      <c r="K2" s="7"/>
      <c r="L2" s="7"/>
      <c r="M2" s="7"/>
      <c r="N2" s="7"/>
      <c r="O2" s="7"/>
      <c r="P2" s="7"/>
      <c r="Q2" s="7"/>
      <c r="R2" s="7"/>
      <c r="S2" s="7"/>
      <c r="T2" s="7"/>
    </row>
    <row r="3" spans="1:20" x14ac:dyDescent="0.2">
      <c r="J3" s="304">
        <v>64</v>
      </c>
      <c r="K3" s="304"/>
      <c r="L3" s="304"/>
      <c r="M3" s="9"/>
      <c r="N3" s="10">
        <v>32</v>
      </c>
      <c r="O3" s="11"/>
      <c r="P3" s="10">
        <v>16</v>
      </c>
      <c r="Q3" s="11"/>
      <c r="R3" s="12">
        <v>8</v>
      </c>
      <c r="S3" s="13"/>
      <c r="T3" s="12"/>
    </row>
    <row r="4" spans="1:20" s="6" customFormat="1" x14ac:dyDescent="0.2">
      <c r="A4" s="14" t="s">
        <v>0</v>
      </c>
      <c r="B4" s="15"/>
      <c r="C4" s="16" t="s">
        <v>1</v>
      </c>
      <c r="D4" s="16" t="s">
        <v>2</v>
      </c>
      <c r="E4" s="16" t="s">
        <v>3</v>
      </c>
      <c r="F4" s="14" t="s">
        <v>4</v>
      </c>
      <c r="G4" s="14" t="s">
        <v>5</v>
      </c>
      <c r="H4" s="14" t="s">
        <v>6</v>
      </c>
      <c r="I4" s="14" t="s">
        <v>7</v>
      </c>
      <c r="J4" s="17" t="s">
        <v>8</v>
      </c>
      <c r="K4" s="16" t="s">
        <v>9</v>
      </c>
      <c r="L4" s="17"/>
      <c r="M4" s="18"/>
      <c r="O4" s="19"/>
      <c r="Q4" s="19"/>
      <c r="S4" s="5"/>
    </row>
    <row r="5" spans="1:20" ht="13.15" customHeight="1" x14ac:dyDescent="0.2">
      <c r="A5" s="20">
        <v>1</v>
      </c>
      <c r="B5" s="21">
        <v>1</v>
      </c>
      <c r="C5" s="22"/>
      <c r="D5" s="23"/>
      <c r="E5" s="24">
        <v>0</v>
      </c>
      <c r="F5" s="25">
        <f>IF(NOT($G5="-"),VLOOKUP($G5,[1]DrawPrep!$A$3:$F$66,2,FALSE),"")</f>
        <v>0</v>
      </c>
      <c r="G5" s="26">
        <f>VLOOKUP($B5,[1]Setup!$K$2:$L$65,2,FALSE)</f>
        <v>1</v>
      </c>
      <c r="H5" s="27">
        <f>IF($G5&gt;0,VLOOKUP($G5,[1]DrawPrep!$A$3:$F$66,6,FALSE),0)</f>
        <v>1</v>
      </c>
      <c r="I5" s="27">
        <f>IF([1]Setup!$B$24="#",0,IF($G5&gt;0,VLOOKUP($G5,[1]DrawPrep!$A$3:$F$66,3,FALSE),0))</f>
        <v>1</v>
      </c>
      <c r="J5" s="28" t="str">
        <f>IF($I5&gt;0,VLOOKUP($I5,[1]DrawPrep!$C$3:$F$66,2,FALSE),"bye")</f>
        <v>ΚΟΚΚΟΤΑΣ ΝΙΚΟΛΑΟΣ</v>
      </c>
      <c r="K5" s="29" t="str">
        <f>IF(NOT(I5&gt;0),"", IF(ISERROR(FIND("-",J5)), LEFT(J5,FIND(" ",J5)-1), IF(FIND("-",J5)&gt;FIND(" ",J5),LEFT(J5,FIND(" ",J5)-1), LEFT(J5,FIND("-",J5)-1) )))</f>
        <v>ΚΟΚΚΟΤΑΣ</v>
      </c>
      <c r="L5" s="30">
        <f>IF($I5&gt;0,VLOOKUP($I5,[1]DrawPrep!$C$3:$F$66,3,FALSE),"")</f>
        <v>0</v>
      </c>
      <c r="M5" s="31">
        <v>1</v>
      </c>
      <c r="N5" s="32" t="str">
        <f>UPPER(IF($A$2="R",IF(OR(M5=1,M5="a"),I5,IF(OR(M5=2,M5="b"),I6,"")),IF(OR(M5=1,M5="1"),K5,IF(OR(M5=2,M5="b"),K6,""))))</f>
        <v>ΚΟΚΚΟΤΑΣ</v>
      </c>
      <c r="O5" s="33"/>
      <c r="P5" s="34"/>
    </row>
    <row r="6" spans="1:20" ht="13.15" customHeight="1" x14ac:dyDescent="0.2">
      <c r="A6" s="36">
        <v>2</v>
      </c>
      <c r="B6" s="22">
        <f>1-D6+16</f>
        <v>16</v>
      </c>
      <c r="C6" s="37">
        <f>B5</f>
        <v>1</v>
      </c>
      <c r="D6" s="38">
        <f>E6</f>
        <v>1</v>
      </c>
      <c r="E6" s="39">
        <f>IF($B$2&gt;=C6,1,0)</f>
        <v>1</v>
      </c>
      <c r="F6" s="40" t="str">
        <f>IF(NOT($G6="-"),VLOOKUP($G6,[1]DrawPrep!$A$3:$F$66,2,FALSE),"")</f>
        <v/>
      </c>
      <c r="G6" s="40" t="str">
        <f>IF($B$2&gt;=C6,"-",VLOOKUP($B6,[1]Setup!$K$2:$L$65,2,FALSE))</f>
        <v>-</v>
      </c>
      <c r="H6" s="41">
        <f>IF(NOT($G6="-"),VLOOKUP($G6,[1]DrawPrep!$A$3:$F$66,6,FALSE),0)</f>
        <v>0</v>
      </c>
      <c r="I6" s="41">
        <f>IF([1]Setup!$B$24="#",0,IF(NOT($G6="-"),VLOOKUP($G6,[1]DrawPrep!$A$3:$F$66,3,FALSE),0))</f>
        <v>0</v>
      </c>
      <c r="J6" s="42" t="str">
        <f>IF($I6&gt;0,VLOOKUP($I6,[1]DrawPrep!$C$3:$F$66,2,FALSE),"bye")</f>
        <v>bye</v>
      </c>
      <c r="K6" s="32" t="str">
        <f t="shared" ref="K6:K68" si="0">IF(NOT(I6&gt;0),"", IF(ISERROR(FIND("-",J6)), LEFT(J6,FIND(" ",J6)-1), IF(FIND("-",J6)&gt;FIND(" ",J6),LEFT(J6,FIND(" ",J6)-1), LEFT(J6,FIND("-",J6)-1) )))</f>
        <v/>
      </c>
      <c r="L6" s="43" t="str">
        <f>IF($I6&gt;0,VLOOKUP($I6,[1]DrawPrep!$C$3:$F$66,3,FALSE),"")</f>
        <v/>
      </c>
      <c r="M6" s="44"/>
      <c r="N6" s="45"/>
      <c r="O6" s="31"/>
      <c r="P6" s="32" t="str">
        <f>UPPER(IF($A$2="R",IF(OR(O6=1,O6="a"),N5,IF(OR(O6=2,O6="b"),N7,"")),IF(OR(O6=1,O6="a"),N5,IF(OR(O6=2,O6="b"),N7,""))))</f>
        <v/>
      </c>
      <c r="Q6" s="33"/>
    </row>
    <row r="7" spans="1:20" ht="13.15" customHeight="1" x14ac:dyDescent="0.2">
      <c r="A7" s="46">
        <v>3</v>
      </c>
      <c r="B7" s="22">
        <f>2-D7+16</f>
        <v>17</v>
      </c>
      <c r="C7" s="47"/>
      <c r="D7" s="38">
        <f>D6+E7</f>
        <v>1</v>
      </c>
      <c r="E7" s="47">
        <v>0</v>
      </c>
      <c r="F7" s="48">
        <f>IF(NOT($G7="-"),VLOOKUP($G7,[1]DrawPrep!$A$3:$F$66,2,FALSE),"")</f>
        <v>0</v>
      </c>
      <c r="G7" s="48">
        <f>VLOOKUP($B7,[1]Setup!$K$2:$L$65,2,FALSE)</f>
        <v>22</v>
      </c>
      <c r="H7" s="49">
        <f>IF($G7&gt;0,VLOOKUP($G7,[1]DrawPrep!$A$3:$F$66,6,FALSE),0)</f>
        <v>0</v>
      </c>
      <c r="I7" s="49">
        <f>IF([1]Setup!$B$24="#",0,IF($G7&gt;0,VLOOKUP($G7,[1]DrawPrep!$A$3:$F$66,3,FALSE),0))</f>
        <v>42</v>
      </c>
      <c r="J7" s="50" t="str">
        <f>IF($I7&gt;0,VLOOKUP($I7,[1]DrawPrep!$C$3:$F$66,2,FALSE),"bye")</f>
        <v>ΝΙΑΡΧΟΣ ΝΙΚΗΤΑΣ</v>
      </c>
      <c r="K7" s="51" t="str">
        <f t="shared" si="0"/>
        <v>ΝΙΑΡΧΟΣ</v>
      </c>
      <c r="L7" s="52">
        <f>IF($I7&gt;0,VLOOKUP($I7,[1]DrawPrep!$C$3:$F$66,3,FALSE),"")</f>
        <v>0</v>
      </c>
      <c r="M7" s="31"/>
      <c r="N7" s="32" t="str">
        <f>UPPER(IF($A$2="R",IF(OR(M7=1,M7="a"),I7,IF(OR(M7=2,M7="b"),I8,"")),IF(OR(M7=1,M7="a"),K7,IF(OR(M7=2,M7="b"),K8,""))))</f>
        <v/>
      </c>
      <c r="O7" s="44"/>
      <c r="P7" s="45"/>
      <c r="Q7" s="33"/>
    </row>
    <row r="8" spans="1:20" ht="13.15" customHeight="1" x14ac:dyDescent="0.2">
      <c r="A8" s="53">
        <v>4</v>
      </c>
      <c r="B8" s="22">
        <f>3-D8+16</f>
        <v>18</v>
      </c>
      <c r="C8" s="47">
        <v>29</v>
      </c>
      <c r="D8" s="38">
        <f t="shared" ref="D8:D67" si="1">D7+E8</f>
        <v>1</v>
      </c>
      <c r="E8" s="39">
        <f>IF($B$2&gt;=C8,1,0)</f>
        <v>0</v>
      </c>
      <c r="F8" s="54">
        <f>IF(NOT($G8="-"),VLOOKUP($G8,[1]DrawPrep!$A$3:$F$66,2,FALSE),"")</f>
        <v>0</v>
      </c>
      <c r="G8" s="54">
        <f>IF($B$2&gt;=C8,"-",VLOOKUP($B8,[1]Setup!$K$2:$L$65,2,FALSE))</f>
        <v>55</v>
      </c>
      <c r="H8" s="55">
        <f>IF(NOT($G8="-"),VLOOKUP($G8,[1]DrawPrep!$A$3:$F$66,6,FALSE),0)</f>
        <v>0</v>
      </c>
      <c r="I8" s="55">
        <v>40</v>
      </c>
      <c r="J8" s="56" t="str">
        <f>IF($I8&gt;0,VLOOKUP($I8,[1]DrawPrep!$C$3:$F$66,2,FALSE),"bye")</f>
        <v>ΜΟΥΣΑΣ ΔΗΜΟΣΘΕΝΗΣ</v>
      </c>
      <c r="K8" s="57" t="str">
        <f t="shared" si="0"/>
        <v>ΜΟΥΣΑΣ</v>
      </c>
      <c r="L8" s="58">
        <f>IF($I8&gt;0,VLOOKUP($I8,[1]DrawPrep!$C$3:$F$66,3,FALSE),"")</f>
        <v>0</v>
      </c>
      <c r="M8" s="44"/>
      <c r="O8" s="59"/>
      <c r="P8" s="60"/>
      <c r="Q8" s="61"/>
      <c r="R8" s="32" t="str">
        <f>UPPER(IF($A$2="R",IF(OR(Q8=1,Q8="a"),P6,IF(OR(Q8=2,Q8="b"),P10,"")),IF(OR(Q8=1,Q8="a"),P6,IF(OR(Q8=2,Q8="b"),P10,""))))</f>
        <v/>
      </c>
    </row>
    <row r="9" spans="1:20" ht="13.15" customHeight="1" x14ac:dyDescent="0.2">
      <c r="A9" s="20">
        <v>5</v>
      </c>
      <c r="B9" s="22">
        <f>4-D9+16</f>
        <v>19</v>
      </c>
      <c r="C9" s="47"/>
      <c r="D9" s="38">
        <f t="shared" si="1"/>
        <v>1</v>
      </c>
      <c r="E9" s="47">
        <v>0</v>
      </c>
      <c r="F9" s="25">
        <f>IF(NOT($G9="-"),VLOOKUP($G9,[1]DrawPrep!$A$3:$F$66,2,FALSE),"")</f>
        <v>0</v>
      </c>
      <c r="G9" s="25">
        <f>VLOOKUP($B9,[1]Setup!$K$2:$L$65,2,FALSE)</f>
        <v>57</v>
      </c>
      <c r="H9" s="62">
        <f>IF($G9&gt;0,VLOOKUP($G9,[1]DrawPrep!$A$3:$F$66,6,FALSE),0)</f>
        <v>0</v>
      </c>
      <c r="I9" s="62">
        <f>IF([1]Setup!$B$24="#",0,IF($G9&gt;0,VLOOKUP($G9,[1]DrawPrep!$A$3:$F$66,3,FALSE),0))</f>
        <v>25</v>
      </c>
      <c r="J9" s="63" t="str">
        <f>IF($I9&gt;0,VLOOKUP($I9,[1]DrawPrep!$C$3:$F$66,2,FALSE),"bye")</f>
        <v>ΙΩΑΝΝΙΔΗΣ ΠΕΤΡΟΣ</v>
      </c>
      <c r="K9" s="64" t="str">
        <f t="shared" si="0"/>
        <v>ΙΩΑΝΝΙΔΗΣ</v>
      </c>
      <c r="L9" s="65">
        <f>IF($I9&gt;0,VLOOKUP($I9,[1]DrawPrep!$C$3:$F$66,3,FALSE),"")</f>
        <v>0</v>
      </c>
      <c r="M9" s="66"/>
      <c r="N9" s="32" t="str">
        <f>UPPER(IF($A$2="R",IF(OR(M9=1,M9="a"),I9,IF(OR(M9=2,M9="b"),I10,"")),IF(OR(M9=1,M9="a"),K9,IF(OR(M9=2,M9="b"),K10,""))))</f>
        <v/>
      </c>
      <c r="O9" s="59"/>
      <c r="P9" s="60"/>
      <c r="Q9" s="33"/>
      <c r="R9" s="67"/>
    </row>
    <row r="10" spans="1:20" ht="13.15" customHeight="1" x14ac:dyDescent="0.2">
      <c r="A10" s="36">
        <v>6</v>
      </c>
      <c r="B10" s="22">
        <f>5-D10+16</f>
        <v>20</v>
      </c>
      <c r="C10" s="47">
        <v>17</v>
      </c>
      <c r="D10" s="38">
        <f t="shared" si="1"/>
        <v>1</v>
      </c>
      <c r="E10" s="39">
        <f>IF($B$2&gt;=C10,1,0)</f>
        <v>0</v>
      </c>
      <c r="F10" s="40">
        <f>IF(NOT($G10="-"),VLOOKUP($G10,[1]DrawPrep!$A$3:$F$66,2,FALSE),"")</f>
        <v>0</v>
      </c>
      <c r="G10" s="40">
        <f>IF($B$2&gt;=C10,"-",VLOOKUP($B10,[1]Setup!$K$2:$L$65,2,FALSE))</f>
        <v>44</v>
      </c>
      <c r="H10" s="41">
        <f>IF(NOT($G10="-"),VLOOKUP($G10,[1]DrawPrep!$A$3:$F$66,6,FALSE),0)</f>
        <v>0</v>
      </c>
      <c r="I10" s="41">
        <f>IF([1]Setup!$B$24="#",0,IF(NOT($G10="-"),VLOOKUP($G10,[1]DrawPrep!$A$3:$F$66,3,FALSE),0))</f>
        <v>51</v>
      </c>
      <c r="J10" s="42" t="str">
        <f>IF($I10&gt;0,VLOOKUP($I10,[1]DrawPrep!$C$3:$F$66,2,FALSE),"bye")</f>
        <v>ΣΤΑΥΡΙΔΗΣ ΓΙΑΝΝΗΣ</v>
      </c>
      <c r="K10" s="32" t="str">
        <f t="shared" si="0"/>
        <v>ΣΤΑΥΡΙΔΗΣ</v>
      </c>
      <c r="L10" s="43">
        <f>IF($I10&gt;0,VLOOKUP($I10,[1]DrawPrep!$C$3:$F$66,3,FALSE),"")</f>
        <v>0</v>
      </c>
      <c r="M10" s="44"/>
      <c r="N10" s="45"/>
      <c r="O10" s="31"/>
      <c r="P10" s="32" t="str">
        <f>UPPER(IF($A$2="R",IF(OR(O10=1,O10="a"),N9,IF(OR(O10=2,O10="b"),N11,"")),IF(OR(O10=1,O10="a"),N9,IF(OR(O10=2,O10="b"),N11,""))))</f>
        <v/>
      </c>
      <c r="Q10" s="68"/>
    </row>
    <row r="11" spans="1:20" ht="13.15" customHeight="1" x14ac:dyDescent="0.2">
      <c r="A11" s="46">
        <v>7</v>
      </c>
      <c r="B11" s="22">
        <f>6-D11+16</f>
        <v>21</v>
      </c>
      <c r="C11" s="69">
        <f>B12</f>
        <v>14</v>
      </c>
      <c r="D11" s="38">
        <f t="shared" si="1"/>
        <v>1</v>
      </c>
      <c r="E11" s="39">
        <f>IF($B$2&gt;=C11,1,0)</f>
        <v>0</v>
      </c>
      <c r="F11" s="48">
        <f>IF(NOT($G11="-"),VLOOKUP($G11,[1]DrawPrep!$A$3:$F$66,2,FALSE),"")</f>
        <v>0</v>
      </c>
      <c r="G11" s="48">
        <f>IF($B$2&gt;=C11,"-",VLOOKUP($B11,[1]Setup!$K$2:$L$65,2,FALSE))</f>
        <v>31</v>
      </c>
      <c r="H11" s="49">
        <f>IF(NOT($G11="-"),VLOOKUP($G11,[1]DrawPrep!$A$3:$F$66,6,FALSE),0)</f>
        <v>0</v>
      </c>
      <c r="I11" s="49">
        <f>IF([1]Setup!$B$24="#",0,IF(NOT($G11="-"),VLOOKUP($G11,[1]DrawPrep!$A$3:$F$66,3,FALSE),0))</f>
        <v>33</v>
      </c>
      <c r="J11" s="50" t="str">
        <f>IF($I11&gt;0,VLOOKUP($I11,[1]DrawPrep!$C$3:$F$66,2,FALSE),"bye")</f>
        <v>ΚΟΥΜΙΔΗΣ ΧΡΗΣΤΟΣ</v>
      </c>
      <c r="K11" s="51" t="str">
        <f t="shared" si="0"/>
        <v>ΚΟΥΜΙΔΗΣ</v>
      </c>
      <c r="L11" s="52">
        <f>IF($I11&gt;0,VLOOKUP($I11,[1]DrawPrep!$C$3:$F$66,3,FALSE),"")</f>
        <v>0</v>
      </c>
      <c r="M11" s="31"/>
      <c r="N11" s="32" t="str">
        <f>UPPER(IF($A$2="R",IF(OR(M11=1,M11="a"),I11,IF(OR(M11=2,M11="b"),I12,"")),IF(OR(M11=1,M11="a"),K11,IF(OR(M11=2,M11="b"),K12,""))))</f>
        <v/>
      </c>
      <c r="O11" s="44"/>
      <c r="P11" s="67"/>
      <c r="Q11" s="33"/>
    </row>
    <row r="12" spans="1:20" ht="13.15" customHeight="1" x14ac:dyDescent="0.2">
      <c r="A12" s="53">
        <v>8</v>
      </c>
      <c r="B12" s="70">
        <f>VALUE([1]Setup!E15)</f>
        <v>14</v>
      </c>
      <c r="C12" s="47"/>
      <c r="D12" s="38">
        <f t="shared" si="1"/>
        <v>1</v>
      </c>
      <c r="E12" s="47">
        <v>0</v>
      </c>
      <c r="F12" s="54">
        <f>IF(NOT($G12="-"),VLOOKUP($G12,[1]DrawPrep!$A$3:$F$66,2,FALSE),"")</f>
        <v>0</v>
      </c>
      <c r="G12" s="71">
        <v>9</v>
      </c>
      <c r="H12" s="72">
        <f>IF($G12&gt;0,VLOOKUP($G12,[1]DrawPrep!$A$3:$F$66,6,FALSE),0)</f>
        <v>0.75</v>
      </c>
      <c r="I12" s="72">
        <v>8</v>
      </c>
      <c r="J12" s="73" t="str">
        <f>IF($I12&gt;0,VLOOKUP($I12,[1]DrawPrep!$C$3:$F$66,2,FALSE),"bye")</f>
        <v>ΙΑΤΡΟΠΟΥΛΟΣ ΔΗΜΗΤΡΗΣ</v>
      </c>
      <c r="K12" s="74" t="str">
        <f t="shared" si="0"/>
        <v>ΙΑΤΡΟΠΟΥΛΟΣ</v>
      </c>
      <c r="L12" s="75">
        <f>IF($I12&gt;0,VLOOKUP($I12,[1]DrawPrep!$C$3:$F$66,3,FALSE),"")</f>
        <v>0</v>
      </c>
      <c r="M12" s="44"/>
      <c r="N12" s="67"/>
      <c r="O12" s="76"/>
      <c r="P12" s="34"/>
      <c r="S12" s="18"/>
      <c r="T12" s="77" t="str">
        <f>UPPER(IF($A$2="R",IF(OR(S12=1,S12="a"),R8,IF(OR(S12=2,S12="b"),R16,"")),IF(OR(S12=1,S12="a"),R8,IF(OR(S12=2,S12="b"),R16,""))))</f>
        <v/>
      </c>
    </row>
    <row r="13" spans="1:20" ht="13.15" customHeight="1" x14ac:dyDescent="0.2">
      <c r="A13" s="78">
        <v>9</v>
      </c>
      <c r="B13" s="70">
        <f>VALUE([1]Setup!E10)</f>
        <v>10</v>
      </c>
      <c r="C13" s="47"/>
      <c r="D13" s="38">
        <f t="shared" si="1"/>
        <v>1</v>
      </c>
      <c r="E13" s="47">
        <v>0</v>
      </c>
      <c r="F13" s="79">
        <f>IF(NOT($G13="-"),VLOOKUP($G13,[1]DrawPrep!$A$3:$F$66,2,FALSE),"")</f>
        <v>0</v>
      </c>
      <c r="G13" s="80">
        <v>2</v>
      </c>
      <c r="H13" s="81">
        <f>IF($G13&gt;0,VLOOKUP($G13,[1]DrawPrep!$A$3:$F$66,6,FALSE),0)</f>
        <v>1</v>
      </c>
      <c r="I13" s="81">
        <v>5</v>
      </c>
      <c r="J13" s="82" t="str">
        <f>IF($I13&gt;0,VLOOKUP($I13,[1]DrawPrep!$C$3:$F$66,2,FALSE),"bye")</f>
        <v>ΓΛΕΖΟΣ ΜΑΝΩΛΗΣ</v>
      </c>
      <c r="K13" s="83" t="str">
        <f t="shared" si="0"/>
        <v>ΓΛΕΖΟΣ</v>
      </c>
      <c r="L13" s="84">
        <f>IF($I13&gt;0,VLOOKUP($I13,[1]DrawPrep!$C$3:$F$66,3,FALSE),"")</f>
        <v>0</v>
      </c>
      <c r="M13" s="31"/>
      <c r="N13" s="32" t="str">
        <f>UPPER(IF($A$2="R",IF(OR(M13=1,M13="a"),I13,IF(OR(M13=2,M13="b"),I14,"")),IF(OR(M13=1,M13="a"),K13,IF(OR(M13=2,M13="b"),K14,""))))</f>
        <v/>
      </c>
      <c r="O13" s="59"/>
      <c r="P13" s="34"/>
      <c r="S13" s="59"/>
      <c r="T13" s="79"/>
    </row>
    <row r="14" spans="1:20" ht="13.15" customHeight="1" x14ac:dyDescent="0.2">
      <c r="A14" s="78">
        <v>10</v>
      </c>
      <c r="B14" s="22">
        <f>7-D14+16</f>
        <v>22</v>
      </c>
      <c r="C14" s="69">
        <f>B13</f>
        <v>10</v>
      </c>
      <c r="D14" s="38">
        <f t="shared" si="1"/>
        <v>1</v>
      </c>
      <c r="E14" s="39">
        <f>IF($B$2&gt;=C14,1,0)</f>
        <v>0</v>
      </c>
      <c r="F14" s="79">
        <f>IF(NOT($G14="-"),VLOOKUP($G14,[1]DrawPrep!$A$3:$F$66,2,FALSE),"")</f>
        <v>0</v>
      </c>
      <c r="G14" s="79">
        <f>IF($B$2&gt;=C14,"-",VLOOKUP($B14,[1]Setup!$K$2:$L$65,2,FALSE))</f>
        <v>25</v>
      </c>
      <c r="H14" s="85">
        <f>IF(NOT($G14="-"),VLOOKUP($G14,[1]DrawPrep!$A$3:$F$66,6,FALSE),0)</f>
        <v>0</v>
      </c>
      <c r="I14" s="85">
        <f>IF([1]Setup!$B$24="#",0,IF(NOT($G14="-"),VLOOKUP($G14,[1]DrawPrep!$A$3:$F$66,3,FALSE),0))</f>
        <v>52</v>
      </c>
      <c r="J14" s="86" t="str">
        <f>IF($I14&gt;0,VLOOKUP($I14,[1]DrawPrep!$C$3:$F$66,2,FALSE),"bye")</f>
        <v>ΣΤΑΥΡΟΠΟΥΛΟΣ ΜΑΡΙΟΣ-ΦΩΤΙΟΣ</v>
      </c>
      <c r="K14" s="77" t="str">
        <f t="shared" si="0"/>
        <v>ΣΤΑΥΡΟΠΟΥΛΟΣ</v>
      </c>
      <c r="L14" s="87">
        <f>IF($I14&gt;0,VLOOKUP($I14,[1]DrawPrep!$C$3:$F$66,3,FALSE),"")</f>
        <v>0</v>
      </c>
      <c r="M14" s="44"/>
      <c r="N14" s="45"/>
      <c r="O14" s="31"/>
      <c r="P14" s="32" t="str">
        <f>UPPER(IF($A$2="R",IF(OR(O14=1,O14="a"),N13,IF(OR(O14=2,O14="b"),N15,"")),IF(OR(O14=1,O14="a"),N13,IF(OR(O14=2,O14="b"),N15,""))))</f>
        <v/>
      </c>
      <c r="Q14" s="33"/>
      <c r="S14" s="59"/>
    </row>
    <row r="15" spans="1:20" ht="13.15" customHeight="1" x14ac:dyDescent="0.2">
      <c r="A15" s="46">
        <v>11</v>
      </c>
      <c r="B15" s="22">
        <f>8-D15+16</f>
        <v>23</v>
      </c>
      <c r="C15" s="47"/>
      <c r="D15" s="38">
        <f t="shared" si="1"/>
        <v>1</v>
      </c>
      <c r="E15" s="47">
        <v>0</v>
      </c>
      <c r="F15" s="48">
        <f>IF(NOT($G15="-"),VLOOKUP($G15,[1]DrawPrep!$A$3:$F$66,2,FALSE),"")</f>
        <v>0</v>
      </c>
      <c r="G15" s="48">
        <f>VLOOKUP($B15,[1]Setup!$K$2:$L$65,2,FALSE)</f>
        <v>34</v>
      </c>
      <c r="H15" s="49">
        <f>IF($G15&gt;0,VLOOKUP($G15,[1]DrawPrep!$A$3:$F$66,6,FALSE),0)</f>
        <v>0</v>
      </c>
      <c r="I15" s="49">
        <f>IF([1]Setup!$B$24="#",0,IF($G15&gt;0,VLOOKUP($G15,[1]DrawPrep!$A$3:$F$66,3,FALSE),0))</f>
        <v>62</v>
      </c>
      <c r="J15" s="50" t="str">
        <f>IF($I15&gt;0,VLOOKUP($I15,[1]DrawPrep!$C$3:$F$66,2,FALSE),"bye")</f>
        <v>ΧΙΡΙΣΤΑΝΙΔΗΣ ΓΙΩΡΓΟΣ</v>
      </c>
      <c r="K15" s="51" t="str">
        <f t="shared" si="0"/>
        <v>ΧΙΡΙΣΤΑΝΙΔΗΣ</v>
      </c>
      <c r="L15" s="52">
        <f>IF($I15&gt;0,VLOOKUP($I15,[1]DrawPrep!$C$3:$F$66,3,FALSE),"")</f>
        <v>0</v>
      </c>
      <c r="M15" s="31"/>
      <c r="N15" s="32" t="str">
        <f>UPPER(IF($A$2="R",IF(OR(M15=1,M15="a"),I15,IF(OR(M15=2,M15="b"),I16,"")),IF(OR(M15=1,M15="a"),K15,IF(OR(M15=2,M15="b"),K16,""))))</f>
        <v/>
      </c>
      <c r="O15" s="44"/>
      <c r="P15" s="45"/>
      <c r="Q15" s="33"/>
      <c r="S15" s="59"/>
    </row>
    <row r="16" spans="1:20" ht="13.15" customHeight="1" x14ac:dyDescent="0.2">
      <c r="A16" s="53">
        <v>12</v>
      </c>
      <c r="B16" s="22">
        <f>9-D16+16</f>
        <v>24</v>
      </c>
      <c r="C16" s="47">
        <v>25</v>
      </c>
      <c r="D16" s="38">
        <f t="shared" si="1"/>
        <v>1</v>
      </c>
      <c r="E16" s="39">
        <f>IF($B$2&gt;=C16,1,0)</f>
        <v>0</v>
      </c>
      <c r="F16" s="54">
        <f>IF(NOT($G16="-"),VLOOKUP($G16,[1]DrawPrep!$A$3:$F$66,2,FALSE),"")</f>
        <v>0</v>
      </c>
      <c r="G16" s="54">
        <f>IF($B$2&gt;=C16,"-",VLOOKUP($B16,[1]Setup!$K$2:$L$65,2,FALSE))</f>
        <v>60</v>
      </c>
      <c r="H16" s="55">
        <f>IF(NOT($G16="-"),VLOOKUP($G16,[1]DrawPrep!$A$3:$F$66,6,FALSE),0)</f>
        <v>0</v>
      </c>
      <c r="I16" s="55">
        <v>50</v>
      </c>
      <c r="J16" s="56" t="str">
        <f>IF($I16&gt;0,VLOOKUP($I16,[1]DrawPrep!$C$3:$F$66,2,FALSE),"bye")</f>
        <v>ΣΤΑΗΣ ΒΑΛΕΡΙΟΣ</v>
      </c>
      <c r="K16" s="57" t="str">
        <f t="shared" si="0"/>
        <v>ΣΤΑΗΣ</v>
      </c>
      <c r="L16" s="58">
        <f>IF($I16&gt;0,VLOOKUP($I16,[1]DrawPrep!$C$3:$F$66,3,FALSE),"")</f>
        <v>0</v>
      </c>
      <c r="M16" s="88"/>
      <c r="N16" s="67"/>
      <c r="O16" s="59"/>
      <c r="P16" s="60"/>
      <c r="Q16" s="61"/>
      <c r="R16" s="32" t="str">
        <f>UPPER(IF($A$2="R",IF(OR(Q16=1,Q16="a"),P14,IF(OR(Q16=2,Q16="b"),P18,"")),IF(OR(Q16=1,Q16="a"),P14,IF(OR(Q16=2,Q16="b"),P18,""))))</f>
        <v/>
      </c>
      <c r="S16" s="59"/>
    </row>
    <row r="17" spans="1:20" ht="13.15" customHeight="1" x14ac:dyDescent="0.2">
      <c r="A17" s="78">
        <v>13</v>
      </c>
      <c r="B17" s="22">
        <f>10-D17+16</f>
        <v>25</v>
      </c>
      <c r="C17" s="47"/>
      <c r="D17" s="38">
        <f t="shared" si="1"/>
        <v>1</v>
      </c>
      <c r="E17" s="47">
        <v>0</v>
      </c>
      <c r="F17" s="79">
        <f>IF(NOT($G17="-"),VLOOKUP($G17,[1]DrawPrep!$A$3:$F$66,2,FALSE),"")</f>
        <v>0</v>
      </c>
      <c r="G17" s="79">
        <f>VLOOKUP($B17,[1]Setup!$K$2:$L$65,2,FALSE)</f>
        <v>47</v>
      </c>
      <c r="H17" s="85">
        <f>IF($G17&gt;0,VLOOKUP($G17,[1]DrawPrep!$A$3:$F$66,6,FALSE),0)</f>
        <v>0</v>
      </c>
      <c r="I17" s="85">
        <f>IF([1]Setup!$B$24="#",0,IF($G17&gt;0,VLOOKUP($G17,[1]DrawPrep!$A$3:$F$66,3,FALSE),0))</f>
        <v>63</v>
      </c>
      <c r="J17" s="86" t="str">
        <f>IF($I17&gt;0,VLOOKUP($I17,[1]DrawPrep!$C$3:$F$66,2,FALSE),"bye")</f>
        <v>ΧΟΛΕΒΑΣ ΣΩΤΗΡΙΟΣ</v>
      </c>
      <c r="K17" s="77" t="str">
        <f t="shared" si="0"/>
        <v>ΧΟΛΕΒΑΣ</v>
      </c>
      <c r="L17" s="87">
        <f>IF($I17&gt;0,VLOOKUP($I17,[1]DrawPrep!$C$3:$F$66,3,FALSE),"")</f>
        <v>0</v>
      </c>
      <c r="M17" s="31"/>
      <c r="N17" s="32" t="str">
        <f>UPPER(IF($A$2="R",IF(OR(M17=1,M17="a"),I17,IF(OR(M17=2,M17="b"),I18,"")),IF(OR(M17=1,M17="a"),K17,IF(OR(M17=2,M17="b"),K18,""))))</f>
        <v/>
      </c>
      <c r="O17" s="59"/>
      <c r="P17" s="60"/>
      <c r="Q17" s="33"/>
      <c r="S17" s="59"/>
    </row>
    <row r="18" spans="1:20" ht="13.15" customHeight="1" x14ac:dyDescent="0.2">
      <c r="A18" s="78">
        <v>14</v>
      </c>
      <c r="B18" s="22">
        <f>11-D18+16</f>
        <v>26</v>
      </c>
      <c r="C18" s="47">
        <v>21</v>
      </c>
      <c r="D18" s="38">
        <f t="shared" si="1"/>
        <v>1</v>
      </c>
      <c r="E18" s="39">
        <f>IF($B$2&gt;=C18,1,0)</f>
        <v>0</v>
      </c>
      <c r="F18" s="79">
        <f>IF(NOT($G18="-"),VLOOKUP($G18,[1]DrawPrep!$A$3:$F$66,2,FALSE),"")</f>
        <v>0</v>
      </c>
      <c r="G18" s="79">
        <f>IF($B$2&gt;=C18,"-",VLOOKUP($B18,[1]Setup!$K$2:$L$65,2,FALSE))</f>
        <v>28</v>
      </c>
      <c r="H18" s="85">
        <f>IF(NOT($G18="-"),VLOOKUP($G18,[1]DrawPrep!$A$3:$F$66,6,FALSE),0)</f>
        <v>0</v>
      </c>
      <c r="I18" s="85">
        <v>31</v>
      </c>
      <c r="J18" s="86" t="str">
        <f>IF($I18&gt;0,VLOOKUP($I18,[1]DrawPrep!$C$3:$F$66,2,FALSE),"bye")</f>
        <v>ΚΟΥΔΟΥΝΑΣ ΜΙΛΤΟΣ</v>
      </c>
      <c r="K18" s="77" t="str">
        <f t="shared" si="0"/>
        <v>ΚΟΥΔΟΥΝΑΣ</v>
      </c>
      <c r="L18" s="87">
        <f>IF($I18&gt;0,VLOOKUP($I18,[1]DrawPrep!$C$3:$F$66,3,FALSE),"")</f>
        <v>0</v>
      </c>
      <c r="M18" s="44"/>
      <c r="N18" s="45"/>
      <c r="O18" s="31"/>
      <c r="P18" s="32" t="str">
        <f>UPPER(IF($A$2="R",IF(OR(O18=1,O18="a"),N17,IF(OR(O18=2,O18="b"),N19,"")),IF(OR(O18=1,O18="a"),N17,IF(OR(O18=2,O18="b"),N19,""))))</f>
        <v/>
      </c>
      <c r="Q18" s="68"/>
      <c r="S18" s="59"/>
    </row>
    <row r="19" spans="1:20" ht="13.15" customHeight="1" x14ac:dyDescent="0.2">
      <c r="A19" s="46">
        <v>15</v>
      </c>
      <c r="B19" s="22">
        <f>12-D19+16</f>
        <v>27</v>
      </c>
      <c r="C19" s="69">
        <f>B20</f>
        <v>7</v>
      </c>
      <c r="D19" s="38">
        <f t="shared" si="1"/>
        <v>1</v>
      </c>
      <c r="E19" s="39">
        <f>IF($B$2&gt;=C19,1,0)</f>
        <v>0</v>
      </c>
      <c r="F19" s="48">
        <f>IF(NOT($G19="-"),VLOOKUP($G19,[1]DrawPrep!$A$3:$F$66,2,FALSE),"")</f>
        <v>0</v>
      </c>
      <c r="G19" s="48">
        <f>IF($B$2&gt;=C19,"-",VLOOKUP($B19,[1]Setup!$K$2:$L$65,2,FALSE))</f>
        <v>36</v>
      </c>
      <c r="H19" s="49">
        <f>IF(NOT($G19="-"),VLOOKUP($G19,[1]DrawPrep!$A$3:$F$66,6,FALSE),0)</f>
        <v>0</v>
      </c>
      <c r="I19" s="49">
        <v>43</v>
      </c>
      <c r="J19" s="50" t="str">
        <f>IF($I19&gt;0,VLOOKUP($I19,[1]DrawPrep!$C$3:$F$66,2,FALSE),"bye")</f>
        <v>ΠΑΝΟΠΟΥΛΟΣ ΔΗΜΗΤΡΙΟΣ</v>
      </c>
      <c r="K19" s="51" t="str">
        <f t="shared" si="0"/>
        <v>ΠΑΝΟΠΟΥΛΟΣ</v>
      </c>
      <c r="L19" s="52">
        <f>IF($I19&gt;0,VLOOKUP($I19,[1]DrawPrep!$C$3:$F$66,3,FALSE),"")</f>
        <v>0</v>
      </c>
      <c r="M19" s="31"/>
      <c r="N19" s="32" t="str">
        <f>UPPER(IF($A$2="R",IF(OR(M19=1,M19="a"),I19,IF(OR(M19=2,M19="b"),I20,"")),IF(OR(M19=1,M19="a"),K19,IF(OR(M19=2,M19="b"),K20,""))))</f>
        <v/>
      </c>
      <c r="O19" s="44"/>
      <c r="P19" s="67"/>
      <c r="Q19" s="33"/>
      <c r="S19" s="59"/>
    </row>
    <row r="20" spans="1:20" ht="13.15" customHeight="1" x14ac:dyDescent="0.2">
      <c r="A20" s="53">
        <v>16</v>
      </c>
      <c r="B20" s="70">
        <f>VALUE([1]Setup!E5)</f>
        <v>7</v>
      </c>
      <c r="C20" s="47"/>
      <c r="D20" s="38">
        <f t="shared" si="1"/>
        <v>1</v>
      </c>
      <c r="E20" s="47">
        <v>0</v>
      </c>
      <c r="F20" s="54">
        <f>IF(NOT($G20="-"),VLOOKUP($G20,[1]DrawPrep!$A$3:$F$66,2,FALSE),"")</f>
        <v>0</v>
      </c>
      <c r="G20" s="71">
        <v>10</v>
      </c>
      <c r="H20" s="72">
        <f>IF($G20&gt;0,VLOOKUP($G20,[1]DrawPrep!$A$3:$F$66,6,FALSE),0)</f>
        <v>0.5</v>
      </c>
      <c r="I20" s="72">
        <v>11</v>
      </c>
      <c r="J20" s="73" t="str">
        <f>IF($I20&gt;0,VLOOKUP($I20,[1]DrawPrep!$C$3:$F$66,2,FALSE),"bye")</f>
        <v>ΖΕΡΔΙΛΑΣ ΑΙΤΟΡ</v>
      </c>
      <c r="K20" s="74" t="str">
        <f t="shared" si="0"/>
        <v>ΖΕΡΔΙΛΑΣ</v>
      </c>
      <c r="L20" s="75">
        <f>IF($I20&gt;0,VLOOKUP($I20,[1]DrawPrep!$C$3:$F$66,3,FALSE),"")</f>
        <v>0</v>
      </c>
      <c r="M20" s="44"/>
      <c r="N20" s="67"/>
      <c r="O20" s="59"/>
      <c r="P20" s="34"/>
      <c r="Q20" s="33"/>
      <c r="S20" s="18"/>
      <c r="T20" s="77" t="str">
        <f>UPPER(IF($A$2="R",IF(OR(S20=1,S20="a"),T12,IF(OR(S20=2,S20="b"),T28,"")),IF(OR(S20=1,S20="a"),T12,IF(OR(S20=2,S20="b"),T28,""))))</f>
        <v/>
      </c>
    </row>
    <row r="21" spans="1:20" ht="13.15" customHeight="1" x14ac:dyDescent="0.2">
      <c r="A21" s="78">
        <v>17</v>
      </c>
      <c r="B21" s="70">
        <f>VALUE([1]Setup!E2)</f>
        <v>4</v>
      </c>
      <c r="C21" s="47"/>
      <c r="D21" s="38">
        <f t="shared" si="1"/>
        <v>1</v>
      </c>
      <c r="E21" s="47">
        <v>0</v>
      </c>
      <c r="F21" s="79">
        <f>IF(NOT($G21="-"),VLOOKUP($G21,[1]DrawPrep!$A$3:$F$66,2,FALSE),"")</f>
        <v>0</v>
      </c>
      <c r="G21" s="80">
        <v>3</v>
      </c>
      <c r="H21" s="81">
        <f>IF($G21&gt;0,VLOOKUP($G21,[1]DrawPrep!$A$3:$F$66,6,FALSE),0)</f>
        <v>1</v>
      </c>
      <c r="I21" s="81">
        <v>2</v>
      </c>
      <c r="J21" s="82" t="str">
        <f>IF($I21&gt;0,VLOOKUP($I21,[1]DrawPrep!$C$3:$F$66,2,FALSE),"bye")</f>
        <v>ΚΩΣΤΑΡΑΣ ΠΑΝΑΓΙΩΤΗΣ</v>
      </c>
      <c r="K21" s="83" t="str">
        <f t="shared" si="0"/>
        <v>ΚΩΣΤΑΡΑΣ</v>
      </c>
      <c r="L21" s="84">
        <f>IF($I21&gt;0,VLOOKUP($I21,[1]DrawPrep!$C$3:$F$66,3,FALSE),"")</f>
        <v>0</v>
      </c>
      <c r="M21" s="31"/>
      <c r="N21" s="32" t="str">
        <f>UPPER(IF($A$2="R",IF(OR(M21=1,M21="a"),I21,IF(OR(M21=2,M21="b"),I22,"")),IF(OR(M21=1,M21="a"),K21,IF(OR(M21=2,M21="b"),K22,""))))</f>
        <v/>
      </c>
      <c r="O21" s="59"/>
      <c r="P21" s="34"/>
      <c r="S21" s="59"/>
      <c r="T21" s="79"/>
    </row>
    <row r="22" spans="1:20" ht="13.15" customHeight="1" x14ac:dyDescent="0.2">
      <c r="A22" s="36">
        <v>18</v>
      </c>
      <c r="B22" s="22">
        <f>13-D22+16</f>
        <v>28</v>
      </c>
      <c r="C22" s="69">
        <f>B21</f>
        <v>4</v>
      </c>
      <c r="D22" s="38">
        <f t="shared" si="1"/>
        <v>1</v>
      </c>
      <c r="E22" s="39">
        <f>IF($B$2&gt;=C22,1,0)</f>
        <v>0</v>
      </c>
      <c r="F22" s="40">
        <f>IF(NOT($G22="-"),VLOOKUP($G22,[1]DrawPrep!$A$3:$F$66,2,FALSE),"")</f>
        <v>0</v>
      </c>
      <c r="G22" s="40">
        <f>IF($B$2&gt;=C22,"-",VLOOKUP($B22,[1]Setup!$K$2:$L$65,2,FALSE))</f>
        <v>42</v>
      </c>
      <c r="H22" s="41">
        <f>IF(NOT($G22="-"),VLOOKUP($G22,[1]DrawPrep!$A$3:$F$66,6,FALSE),0)</f>
        <v>0</v>
      </c>
      <c r="I22" s="41">
        <f>IF([1]Setup!$B$24="#",0,IF(NOT($G22="-"),VLOOKUP($G22,[1]DrawPrep!$A$3:$F$66,3,FALSE),0))</f>
        <v>59</v>
      </c>
      <c r="J22" s="42" t="str">
        <f>IF($I22&gt;0,VLOOKUP($I22,[1]DrawPrep!$C$3:$F$66,2,FALSE),"bye")</f>
        <v>ΧΑΝΔΡΟΣ ΝΙΚΟΛΑΟΣ</v>
      </c>
      <c r="K22" s="32" t="str">
        <f t="shared" si="0"/>
        <v>ΧΑΝΔΡΟΣ</v>
      </c>
      <c r="L22" s="43">
        <f>IF($I22&gt;0,VLOOKUP($I22,[1]DrawPrep!$C$3:$F$66,3,FALSE),"")</f>
        <v>0</v>
      </c>
      <c r="M22" s="44"/>
      <c r="N22" s="45"/>
      <c r="O22" s="31"/>
      <c r="P22" s="32" t="str">
        <f>UPPER(IF($A$2="R",IF(OR(O22=1,O22="a"),N21,IF(OR(O22=2,O22="b"),N23,"")),IF(OR(O22=1,O22="a"),N21,IF(OR(O22=2,O22="b"),N23,""))))</f>
        <v/>
      </c>
      <c r="Q22" s="33"/>
      <c r="S22" s="59"/>
    </row>
    <row r="23" spans="1:20" ht="13.15" customHeight="1" x14ac:dyDescent="0.2">
      <c r="A23" s="46">
        <v>19</v>
      </c>
      <c r="B23" s="22">
        <f>14-D23+16</f>
        <v>29</v>
      </c>
      <c r="C23" s="47"/>
      <c r="D23" s="38">
        <f t="shared" si="1"/>
        <v>1</v>
      </c>
      <c r="E23" s="47">
        <v>0</v>
      </c>
      <c r="F23" s="48">
        <f>IF(NOT($G23="-"),VLOOKUP($G23,[1]DrawPrep!$A$3:$F$66,2,FALSE),"")</f>
        <v>0</v>
      </c>
      <c r="G23" s="48">
        <f>VLOOKUP($B23,[1]Setup!$K$2:$L$65,2,FALSE)</f>
        <v>43</v>
      </c>
      <c r="H23" s="49">
        <f>IF($G23&gt;0,VLOOKUP($G23,[1]DrawPrep!$A$3:$F$66,6,FALSE),0)</f>
        <v>0</v>
      </c>
      <c r="I23" s="49">
        <f>IF([1]Setup!$B$24="#",0,IF($G23&gt;0,VLOOKUP($G23,[1]DrawPrep!$A$3:$F$66,3,FALSE),0))</f>
        <v>47</v>
      </c>
      <c r="J23" s="50" t="str">
        <f>IF($I23&gt;0,VLOOKUP($I23,[1]DrawPrep!$C$3:$F$66,2,FALSE),"bye")</f>
        <v>ΣΕΛΕΠΕΣ ΦΡΑΓΚΙΣΚΟΣ</v>
      </c>
      <c r="K23" s="51" t="str">
        <f t="shared" si="0"/>
        <v>ΣΕΛΕΠΕΣ</v>
      </c>
      <c r="L23" s="52">
        <f>IF($I23&gt;0,VLOOKUP($I23,[1]DrawPrep!$C$3:$F$66,3,FALSE),"")</f>
        <v>0</v>
      </c>
      <c r="M23" s="31"/>
      <c r="N23" s="32" t="str">
        <f>UPPER(IF($A$2="R",IF(OR(M23=1,M23="a"),I23,IF(OR(M23=2,M23="b"),I24,"")),IF(OR(M23=1,M23="a"),K23,IF(OR(M23=2,M23="b"),K24,""))))</f>
        <v/>
      </c>
      <c r="O23" s="44"/>
      <c r="P23" s="45"/>
      <c r="Q23" s="33"/>
      <c r="S23" s="59"/>
    </row>
    <row r="24" spans="1:20" ht="13.15" customHeight="1" x14ac:dyDescent="0.2">
      <c r="A24" s="53">
        <v>20</v>
      </c>
      <c r="B24" s="22">
        <f>15-D24+16</f>
        <v>30</v>
      </c>
      <c r="C24" s="47">
        <v>31</v>
      </c>
      <c r="D24" s="38">
        <f t="shared" si="1"/>
        <v>1</v>
      </c>
      <c r="E24" s="39">
        <f>IF($B$2&gt;=C24,1,0)</f>
        <v>0</v>
      </c>
      <c r="F24" s="54">
        <f>IF(NOT($G24="-"),VLOOKUP($G24,[1]DrawPrep!$A$3:$F$66,2,FALSE),"")</f>
        <v>0</v>
      </c>
      <c r="G24" s="54">
        <f>IF($B$2&gt;=C24,"-",VLOOKUP($B24,[1]Setup!$K$2:$L$65,2,FALSE))</f>
        <v>62</v>
      </c>
      <c r="H24" s="55">
        <f>IF(NOT($G24="-"),VLOOKUP($G24,[1]DrawPrep!$A$3:$F$66,6,FALSE),0)</f>
        <v>0</v>
      </c>
      <c r="I24" s="55">
        <f>IF([1]Setup!$B$24="#",0,IF(NOT($G24="-"),VLOOKUP($G24,[1]DrawPrep!$A$3:$F$66,3,FALSE),0))</f>
        <v>29</v>
      </c>
      <c r="J24" s="56" t="str">
        <f>IF($I24&gt;0,VLOOKUP($I24,[1]DrawPrep!$C$3:$F$66,2,FALSE),"bye")</f>
        <v>ΚΑΦΕΝΤΖΗΣ ΓΕΩΡΓΙΟΣ</v>
      </c>
      <c r="K24" s="57" t="str">
        <f t="shared" si="0"/>
        <v>ΚΑΦΕΝΤΖΗΣ</v>
      </c>
      <c r="L24" s="58">
        <f>IF($I24&gt;0,VLOOKUP($I24,[1]DrawPrep!$C$3:$F$66,3,FALSE),"")</f>
        <v>0</v>
      </c>
      <c r="M24" s="44"/>
      <c r="O24" s="59"/>
      <c r="P24" s="60"/>
      <c r="Q24" s="89"/>
      <c r="R24" s="32" t="str">
        <f>UPPER(IF($A$2="R",IF(OR(Q24=1,Q24="a"),P22,IF(OR(Q24=2,Q24="b"),P26,"")),IF(OR(Q24=1,Q24="a"),P22,IF(OR(Q24=2,Q24="b"),P26,""))))</f>
        <v/>
      </c>
      <c r="S24" s="59"/>
    </row>
    <row r="25" spans="1:20" ht="13.15" customHeight="1" x14ac:dyDescent="0.2">
      <c r="A25" s="78">
        <v>21</v>
      </c>
      <c r="B25" s="22">
        <f>16-D25+16</f>
        <v>31</v>
      </c>
      <c r="C25" s="47"/>
      <c r="D25" s="38">
        <f t="shared" si="1"/>
        <v>1</v>
      </c>
      <c r="E25" s="47">
        <v>0</v>
      </c>
      <c r="F25" s="79">
        <f>IF(NOT($G25="-"),VLOOKUP($G25,[1]DrawPrep!$A$3:$F$66,2,FALSE),"")</f>
        <v>0</v>
      </c>
      <c r="G25" s="79">
        <f>VLOOKUP($B25,[1]Setup!$K$2:$L$65,2,FALSE)</f>
        <v>23</v>
      </c>
      <c r="H25" s="85">
        <f>IF($G25&gt;0,VLOOKUP($G25,[1]DrawPrep!$A$3:$F$66,6,FALSE),0)</f>
        <v>0</v>
      </c>
      <c r="I25" s="85">
        <v>32</v>
      </c>
      <c r="J25" s="86" t="str">
        <f>IF($I25&gt;0,VLOOKUP($I25,[1]DrawPrep!$C$3:$F$66,2,FALSE),"bye")</f>
        <v>ΚΟΥΜΙΔΗΣ ΙΑΣΟΝΑΣ</v>
      </c>
      <c r="K25" s="77" t="str">
        <f t="shared" si="0"/>
        <v>ΚΟΥΜΙΔΗΣ</v>
      </c>
      <c r="L25" s="87">
        <f>IF($I25&gt;0,VLOOKUP($I25,[1]DrawPrep!$C$3:$F$66,3,FALSE),"")</f>
        <v>0</v>
      </c>
      <c r="M25" s="31"/>
      <c r="N25" s="32" t="str">
        <f>UPPER(IF($A$2="R",IF(OR(M25=1,M25="a"),I25,IF(OR(M25=2,M25="b"),I26,"")),IF(OR(M25=1,M25="a"),K25,IF(OR(M25=2,M25="b"),K26,""))))</f>
        <v/>
      </c>
      <c r="O25" s="59"/>
      <c r="P25" s="60"/>
      <c r="Q25" s="33"/>
      <c r="R25" s="67"/>
      <c r="S25" s="59"/>
    </row>
    <row r="26" spans="1:20" ht="13.15" customHeight="1" x14ac:dyDescent="0.2">
      <c r="A26" s="78">
        <v>22</v>
      </c>
      <c r="B26" s="22">
        <f>17-D26+16</f>
        <v>32</v>
      </c>
      <c r="C26" s="47">
        <v>19</v>
      </c>
      <c r="D26" s="38">
        <f t="shared" si="1"/>
        <v>1</v>
      </c>
      <c r="E26" s="39">
        <f>IF($B$2&gt;=C26,1,0)</f>
        <v>0</v>
      </c>
      <c r="F26" s="79">
        <f>IF(NOT($G26="-"),VLOOKUP($G26,[1]DrawPrep!$A$3:$F$66,2,FALSE),"")</f>
        <v>0</v>
      </c>
      <c r="G26" s="79">
        <f>IF($B$2&gt;=C26,"-",VLOOKUP($B26,[1]Setup!$K$2:$L$65,2,FALSE))</f>
        <v>17</v>
      </c>
      <c r="H26" s="85">
        <f>IF(NOT($G26="-"),VLOOKUP($G26,[1]DrawPrep!$A$3:$F$66,6,FALSE),0)</f>
        <v>0.1</v>
      </c>
      <c r="I26" s="85">
        <f>IF([1]Setup!$B$24="#",0,IF(NOT($G26="-"),VLOOKUP($G26,[1]DrawPrep!$A$3:$F$66,3,FALSE),0))</f>
        <v>18</v>
      </c>
      <c r="J26" s="86" t="str">
        <f>IF($I26&gt;0,VLOOKUP($I26,[1]DrawPrep!$C$3:$F$66,2,FALSE),"bye")</f>
        <v>ΠΑΠΑΪΩΑΝΝΟΥ ΓΙΑΝΝΗΣ</v>
      </c>
      <c r="K26" s="77" t="str">
        <f t="shared" si="0"/>
        <v>ΠΑΠΑΪΩΑΝΝΟΥ</v>
      </c>
      <c r="L26" s="87">
        <f>IF($I26&gt;0,VLOOKUP($I26,[1]DrawPrep!$C$3:$F$66,3,FALSE),"")</f>
        <v>0</v>
      </c>
      <c r="M26" s="44"/>
      <c r="N26" s="45"/>
      <c r="O26" s="31"/>
      <c r="P26" s="32" t="str">
        <f>UPPER(IF($A$2="R",IF(OR(O26=1,O26="a"),N25,IF(OR(O26=2,O26="b"),N27,"")),IF(OR(O26=1,O26="a"),N25,IF(OR(O26=2,O26="b"),N27,""))))</f>
        <v/>
      </c>
      <c r="Q26" s="68"/>
      <c r="S26" s="59"/>
    </row>
    <row r="27" spans="1:20" ht="13.15" customHeight="1" x14ac:dyDescent="0.2">
      <c r="A27" s="46">
        <v>23</v>
      </c>
      <c r="B27" s="22">
        <f>18-D27+16</f>
        <v>33</v>
      </c>
      <c r="C27" s="69">
        <f>B28</f>
        <v>16</v>
      </c>
      <c r="D27" s="38">
        <f t="shared" si="1"/>
        <v>1</v>
      </c>
      <c r="E27" s="39">
        <f>IF($B$2&gt;=C27,1,0)</f>
        <v>0</v>
      </c>
      <c r="F27" s="48">
        <f>IF(NOT($G27="-"),VLOOKUP($G27,[1]DrawPrep!$A$3:$F$66,2,FALSE),"")</f>
        <v>0</v>
      </c>
      <c r="G27" s="48">
        <f>IF($B$2&gt;=C27,"-",VLOOKUP($B27,[1]Setup!$K$2:$L$65,2,FALSE))</f>
        <v>54</v>
      </c>
      <c r="H27" s="49">
        <f>IF(NOT($G27="-"),VLOOKUP($G27,[1]DrawPrep!$A$3:$F$66,6,FALSE),0)</f>
        <v>0</v>
      </c>
      <c r="I27" s="49">
        <f>IF([1]Setup!$B$24="#",0,IF(NOT($G27="-"),VLOOKUP($G27,[1]DrawPrep!$A$3:$F$66,3,FALSE),0))</f>
        <v>36</v>
      </c>
      <c r="J27" s="50" t="str">
        <f>IF($I27&gt;0,VLOOKUP($I27,[1]DrawPrep!$C$3:$F$66,2,FALSE),"bye")</f>
        <v>ΛΑΜΠΡΟΠΟΥΛΟΣ ΔΙΟΝΥΣΗΣ</v>
      </c>
      <c r="K27" s="51" t="str">
        <f t="shared" si="0"/>
        <v>ΛΑΜΠΡΟΠΟΥΛΟΣ</v>
      </c>
      <c r="L27" s="52">
        <f>IF($I27&gt;0,VLOOKUP($I27,[1]DrawPrep!$C$3:$F$66,3,FALSE),"")</f>
        <v>0</v>
      </c>
      <c r="M27" s="31"/>
      <c r="N27" s="32" t="str">
        <f>UPPER(IF($A$2="R",IF(OR(M27=1,M27="a"),I27,IF(OR(M27=2,M27="b"),I28,"")),IF(OR(M27=1,M27="a"),K27,IF(OR(M27=2,M27="b"),K28,""))))</f>
        <v/>
      </c>
      <c r="O27" s="44"/>
      <c r="P27" s="67"/>
      <c r="Q27" s="33"/>
      <c r="S27" s="59"/>
    </row>
    <row r="28" spans="1:20" ht="13.15" customHeight="1" x14ac:dyDescent="0.2">
      <c r="A28" s="53">
        <v>24</v>
      </c>
      <c r="B28" s="70">
        <f>VALUE([1]Setup!E16)</f>
        <v>16</v>
      </c>
      <c r="C28" s="47"/>
      <c r="D28" s="38">
        <f t="shared" si="1"/>
        <v>1</v>
      </c>
      <c r="E28" s="47">
        <v>0</v>
      </c>
      <c r="F28" s="54">
        <f>IF(NOT($G28="-"),VLOOKUP($G28,[1]DrawPrep!$A$3:$F$66,2,FALSE),"")</f>
        <v>0</v>
      </c>
      <c r="G28" s="71">
        <v>11</v>
      </c>
      <c r="H28" s="72">
        <f>IF($G28&gt;0,VLOOKUP($G28,[1]DrawPrep!$A$3:$F$66,6,FALSE),0)</f>
        <v>0.5</v>
      </c>
      <c r="I28" s="72">
        <v>12</v>
      </c>
      <c r="J28" s="73" t="str">
        <f>IF($I28&gt;0,VLOOKUP($I28,[1]DrawPrep!$C$3:$F$66,2,FALSE),"bye")</f>
        <v>ΚΑΒΑΛΛΑΣ ΘΟΔΩΡΗΣ</v>
      </c>
      <c r="K28" s="74" t="str">
        <f t="shared" si="0"/>
        <v>ΚΑΒΑΛΛΑΣ</v>
      </c>
      <c r="L28" s="75">
        <f>IF($I28&gt;0,VLOOKUP($I28,[1]DrawPrep!$C$3:$F$66,3,FALSE),"")</f>
        <v>0</v>
      </c>
      <c r="M28" s="44"/>
      <c r="N28" s="67"/>
      <c r="O28" s="76"/>
      <c r="P28" s="34"/>
      <c r="S28" s="18"/>
      <c r="T28" s="77" t="str">
        <f>UPPER(IF($A$2="R",IF(OR(S28=1,S28="a"),R24,IF(OR(S28=2,S28="b"),R32,"")),IF(OR(S28=1,S28="a"),R24,IF(OR(S28=2,S28="b"),R32,""))))</f>
        <v/>
      </c>
    </row>
    <row r="29" spans="1:20" ht="13.15" customHeight="1" x14ac:dyDescent="0.2">
      <c r="A29" s="78">
        <v>25</v>
      </c>
      <c r="B29" s="70">
        <f>VALUE([1]Setup!E11)</f>
        <v>12</v>
      </c>
      <c r="C29" s="47"/>
      <c r="D29" s="38">
        <f t="shared" si="1"/>
        <v>1</v>
      </c>
      <c r="E29" s="47">
        <v>0</v>
      </c>
      <c r="F29" s="79">
        <f>IF(NOT($G29="-"),VLOOKUP($G29,[1]DrawPrep!$A$3:$F$66,2,FALSE),"")</f>
        <v>0</v>
      </c>
      <c r="G29" s="80">
        <v>4</v>
      </c>
      <c r="H29" s="81">
        <f>IF($G29&gt;0,VLOOKUP($G29,[1]DrawPrep!$A$3:$F$66,6,FALSE),0)</f>
        <v>1</v>
      </c>
      <c r="I29" s="81">
        <v>4</v>
      </c>
      <c r="J29" s="82" t="str">
        <f>IF($I29&gt;0,VLOOKUP($I29,[1]DrawPrep!$C$3:$F$66,2,FALSE),"bye")</f>
        <v>ΖΑΝΝΙΑΣ ΘΑΝΑΣΗΣ</v>
      </c>
      <c r="K29" s="83" t="str">
        <f t="shared" si="0"/>
        <v>ΖΑΝΝΙΑΣ</v>
      </c>
      <c r="L29" s="84">
        <f>IF($I29&gt;0,VLOOKUP($I29,[1]DrawPrep!$C$3:$F$66,3,FALSE),"")</f>
        <v>0</v>
      </c>
      <c r="M29" s="31"/>
      <c r="N29" s="32" t="str">
        <f>UPPER(IF($A$2="R",IF(OR(M29=1,M29="a"),I29,IF(OR(M29=2,M29="b"),I30,"")),IF(OR(M29=1,M29="a"),K29,IF(OR(M29=2,M29="b"),K30,""))))</f>
        <v/>
      </c>
      <c r="O29" s="59"/>
      <c r="P29" s="34"/>
      <c r="S29" s="59"/>
      <c r="T29" s="79"/>
    </row>
    <row r="30" spans="1:20" ht="13.15" customHeight="1" x14ac:dyDescent="0.2">
      <c r="A30" s="36">
        <v>26</v>
      </c>
      <c r="B30" s="22">
        <f>19-D30+16</f>
        <v>34</v>
      </c>
      <c r="C30" s="69">
        <f>B29</f>
        <v>12</v>
      </c>
      <c r="D30" s="38">
        <f t="shared" si="1"/>
        <v>1</v>
      </c>
      <c r="E30" s="39">
        <f>IF($B$2&gt;=C30,1,0)</f>
        <v>0</v>
      </c>
      <c r="F30" s="40">
        <f>IF(NOT($G30="-"),VLOOKUP($G30,[1]DrawPrep!$A$3:$F$66,2,FALSE),"")</f>
        <v>0</v>
      </c>
      <c r="G30" s="40">
        <f>IF($B$2&gt;=C30,"-",VLOOKUP($B30,[1]Setup!$K$2:$L$65,2,FALSE))</f>
        <v>19</v>
      </c>
      <c r="H30" s="41">
        <f>IF(NOT($G30="-"),VLOOKUP($G30,[1]DrawPrep!$A$3:$F$66,6,FALSE),0)</f>
        <v>0.1</v>
      </c>
      <c r="I30" s="41">
        <f>IF([1]Setup!$B$24="#",0,IF(NOT($G30="-"),VLOOKUP($G30,[1]DrawPrep!$A$3:$F$66,3,FALSE),0))</f>
        <v>19</v>
      </c>
      <c r="J30" s="42" t="str">
        <f>IF($I30&gt;0,VLOOKUP($I30,[1]DrawPrep!$C$3:$F$66,2,FALSE),"bye")</f>
        <v>ΤΣΙΤΣΙΠΑΣ ΠΕΤΡΟΣ</v>
      </c>
      <c r="K30" s="32" t="str">
        <f t="shared" si="0"/>
        <v>ΤΣΙΤΣΙΠΑΣ</v>
      </c>
      <c r="L30" s="43">
        <f>IF($I30&gt;0,VLOOKUP($I30,[1]DrawPrep!$C$3:$F$66,3,FALSE),"")</f>
        <v>0</v>
      </c>
      <c r="M30" s="44"/>
      <c r="N30" s="45"/>
      <c r="O30" s="31"/>
      <c r="P30" s="32" t="str">
        <f>UPPER(IF($A$2="R",IF(OR(O30=1,O30="a"),N29,IF(OR(O30=2,O30="b"),N31,"")),IF(OR(O30=1,O30="a"),N29,IF(OR(O30=2,O30="b"),N31,""))))</f>
        <v/>
      </c>
      <c r="Q30" s="33"/>
      <c r="S30" s="59"/>
    </row>
    <row r="31" spans="1:20" ht="13.15" customHeight="1" x14ac:dyDescent="0.2">
      <c r="A31" s="90">
        <v>27</v>
      </c>
      <c r="B31" s="22">
        <f>20-D31+16</f>
        <v>35</v>
      </c>
      <c r="C31" s="47"/>
      <c r="D31" s="38">
        <f t="shared" si="1"/>
        <v>1</v>
      </c>
      <c r="E31" s="47">
        <v>0</v>
      </c>
      <c r="F31" s="91">
        <f>IF(NOT($G31="-"),VLOOKUP($G31,[1]DrawPrep!$A$3:$F$66,2,FALSE),"")</f>
        <v>0</v>
      </c>
      <c r="G31" s="91">
        <f>VLOOKUP($B31,[1]Setup!$K$2:$L$65,2,FALSE)</f>
        <v>27</v>
      </c>
      <c r="H31" s="92">
        <f>IF($G31&gt;0,VLOOKUP($G31,[1]DrawPrep!$A$3:$F$66,6,FALSE),0)</f>
        <v>0</v>
      </c>
      <c r="I31" s="92">
        <f>IF([1]Setup!$B$24="#",0,IF($G31&gt;0,VLOOKUP($G31,[1]DrawPrep!$A$3:$F$66,3,FALSE),0))</f>
        <v>38</v>
      </c>
      <c r="J31" s="93" t="str">
        <f>IF($I31&gt;0,VLOOKUP($I31,[1]DrawPrep!$C$3:$F$66,2,FALSE),"bye")</f>
        <v>ΜΑΝΤΙΚΑΣ ΓΕΩΡΓΙΟΣ</v>
      </c>
      <c r="K31" s="94" t="str">
        <f t="shared" si="0"/>
        <v>ΜΑΝΤΙΚΑΣ</v>
      </c>
      <c r="L31" s="95">
        <f>IF($I31&gt;0,VLOOKUP($I31,[1]DrawPrep!$C$3:$F$66,3,FALSE),"")</f>
        <v>0</v>
      </c>
      <c r="M31" s="31"/>
      <c r="N31" s="32" t="str">
        <f>UPPER(IF($A$2="R",IF(OR(M31=1,M31="a"),I31,IF(OR(M31=2,M31="b"),I32,"")),IF(OR(M31=1,M31="a"),K31,IF(OR(M31=2,M31="b"),K32,""))))</f>
        <v/>
      </c>
      <c r="O31" s="44"/>
      <c r="P31" s="45"/>
      <c r="Q31" s="33"/>
      <c r="S31" s="59"/>
    </row>
    <row r="32" spans="1:20" ht="13.15" customHeight="1" x14ac:dyDescent="0.2">
      <c r="A32" s="90">
        <v>28</v>
      </c>
      <c r="B32" s="22">
        <f>21-D32+16</f>
        <v>36</v>
      </c>
      <c r="C32" s="47">
        <v>27</v>
      </c>
      <c r="D32" s="38">
        <f t="shared" si="1"/>
        <v>1</v>
      </c>
      <c r="E32" s="39">
        <f>IF($B$2&gt;=C32,1,0)</f>
        <v>0</v>
      </c>
      <c r="F32" s="91">
        <f>IF(NOT($G32="-"),VLOOKUP($G32,[1]DrawPrep!$A$3:$F$66,2,FALSE),"")</f>
        <v>0</v>
      </c>
      <c r="G32" s="91">
        <f>IF($B$2&gt;=C32,"-",VLOOKUP($B32,[1]Setup!$K$2:$L$65,2,FALSE))</f>
        <v>51</v>
      </c>
      <c r="H32" s="92">
        <f>IF(NOT($G32="-"),VLOOKUP($G32,[1]DrawPrep!$A$3:$F$66,6,FALSE),0)</f>
        <v>0</v>
      </c>
      <c r="I32" s="92">
        <f>IF([1]Setup!$B$24="#",0,IF(NOT($G32="-"),VLOOKUP($G32,[1]DrawPrep!$A$3:$F$66,3,FALSE),0))</f>
        <v>20</v>
      </c>
      <c r="J32" s="93" t="str">
        <f>IF($I32&gt;0,VLOOKUP($I32,[1]DrawPrep!$C$3:$F$66,2,FALSE),"bye")</f>
        <v>DIRZU ANDREI</v>
      </c>
      <c r="K32" s="94" t="str">
        <f t="shared" si="0"/>
        <v>DIRZU</v>
      </c>
      <c r="L32" s="95">
        <f>IF($I32&gt;0,VLOOKUP($I32,[1]DrawPrep!$C$3:$F$66,3,FALSE),"")</f>
        <v>0</v>
      </c>
      <c r="M32" s="88"/>
      <c r="O32" s="59"/>
      <c r="P32" s="60"/>
      <c r="Q32" s="89"/>
      <c r="R32" s="32" t="str">
        <f>UPPER(IF($A$2="R",IF(OR(Q32=1,Q32="a"),P30,IF(OR(Q32=2,Q32="b"),P34,"")),IF(OR(Q32=1,Q32="a"),P30,IF(OR(Q32=2,Q32="b"),P34,""))))</f>
        <v/>
      </c>
      <c r="S32" s="59"/>
    </row>
    <row r="33" spans="1:20" ht="13.15" customHeight="1" x14ac:dyDescent="0.2">
      <c r="A33" s="20">
        <v>29</v>
      </c>
      <c r="B33" s="22">
        <f>22-D33+16</f>
        <v>37</v>
      </c>
      <c r="C33" s="47"/>
      <c r="D33" s="38">
        <f t="shared" si="1"/>
        <v>1</v>
      </c>
      <c r="E33" s="47">
        <v>0</v>
      </c>
      <c r="F33" s="25">
        <f>IF(NOT($G33="-"),VLOOKUP($G33,[1]DrawPrep!$A$3:$F$66,2,FALSE),"")</f>
        <v>0</v>
      </c>
      <c r="G33" s="25">
        <f>VLOOKUP($B33,[1]Setup!$K$2:$L$65,2,FALSE)</f>
        <v>41</v>
      </c>
      <c r="H33" s="62">
        <f>IF($G33&gt;0,VLOOKUP($G33,[1]DrawPrep!$A$3:$F$66,6,FALSE),0)</f>
        <v>0</v>
      </c>
      <c r="I33" s="62">
        <f>IF([1]Setup!$B$24="#",0,IF($G33&gt;0,VLOOKUP($G33,[1]DrawPrep!$A$3:$F$66,3,FALSE),0))</f>
        <v>24</v>
      </c>
      <c r="J33" s="63" t="str">
        <f>IF($I33&gt;0,VLOOKUP($I33,[1]DrawPrep!$C$3:$F$66,2,FALSE),"bye")</f>
        <v>ΘΕΟΔΩΡΟΥ ΚΩΣΤΑΣ</v>
      </c>
      <c r="K33" s="64" t="str">
        <f t="shared" si="0"/>
        <v>ΘΕΟΔΩΡΟΥ</v>
      </c>
      <c r="L33" s="65">
        <f>IF($I33&gt;0,VLOOKUP($I33,[1]DrawPrep!$C$3:$F$66,3,FALSE),"")</f>
        <v>0</v>
      </c>
      <c r="M33" s="66"/>
      <c r="N33" s="32" t="str">
        <f>UPPER(IF($A$2="R",IF(OR(M33=1,M33="a"),I33,IF(OR(M33=2,M33="b"),I34,"")),IF(OR(M33=1,M33="a"),K33,IF(OR(M33=2,M33="b"),K34,""))))</f>
        <v/>
      </c>
      <c r="O33" s="59"/>
      <c r="P33" s="60"/>
      <c r="Q33" s="33"/>
      <c r="S33" s="59"/>
    </row>
    <row r="34" spans="1:20" ht="13.15" customHeight="1" x14ac:dyDescent="0.2">
      <c r="A34" s="36">
        <v>30</v>
      </c>
      <c r="B34" s="22">
        <f>23-D34+16</f>
        <v>38</v>
      </c>
      <c r="C34" s="47">
        <v>23</v>
      </c>
      <c r="D34" s="38">
        <f t="shared" si="1"/>
        <v>1</v>
      </c>
      <c r="E34" s="39">
        <f>IF($B$2&gt;=C34,1,0)</f>
        <v>0</v>
      </c>
      <c r="F34" s="40">
        <f>IF(NOT($G34="-"),VLOOKUP($G34,[1]DrawPrep!$A$3:$F$66,2,FALSE),"")</f>
        <v>0</v>
      </c>
      <c r="G34" s="40">
        <f>IF($B$2&gt;=C34,"-",VLOOKUP($B34,[1]Setup!$K$2:$L$65,2,FALSE))</f>
        <v>56</v>
      </c>
      <c r="H34" s="41">
        <f>IF(NOT($G34="-"),VLOOKUP($G34,[1]DrawPrep!$A$3:$F$66,6,FALSE),0)</f>
        <v>0</v>
      </c>
      <c r="I34" s="41">
        <f>IF([1]Setup!$B$24="#",0,IF(NOT($G34="-"),VLOOKUP($G34,[1]DrawPrep!$A$3:$F$66,3,FALSE),0))</f>
        <v>30</v>
      </c>
      <c r="J34" s="42" t="str">
        <f>IF($I34&gt;0,VLOOKUP($I34,[1]DrawPrep!$C$3:$F$66,2,FALSE),"bye")</f>
        <v>ΚΟΡΑΚΑΣ ΑΝΑΣΤΑΣΙΟΣ</v>
      </c>
      <c r="K34" s="32" t="str">
        <f t="shared" si="0"/>
        <v>ΚΟΡΑΚΑΣ</v>
      </c>
      <c r="L34" s="43">
        <f>IF($I34&gt;0,VLOOKUP($I34,[1]DrawPrep!$C$3:$F$66,3,FALSE),"")</f>
        <v>0</v>
      </c>
      <c r="M34" s="44"/>
      <c r="N34" s="45"/>
      <c r="O34" s="31"/>
      <c r="P34" s="32" t="str">
        <f>UPPER(IF($A$2="R",IF(OR(O34=1,O34="a"),N33,IF(OR(O34=2,O34="b"),N35,"")),IF(OR(O34=1,O34="a"),N33,IF(OR(O34=2,O34="b"),N35,""))))</f>
        <v/>
      </c>
      <c r="Q34" s="96"/>
      <c r="R34" s="97"/>
      <c r="S34" s="59"/>
      <c r="T34" s="97"/>
    </row>
    <row r="35" spans="1:20" ht="13.15" customHeight="1" x14ac:dyDescent="0.2">
      <c r="A35" s="46">
        <v>31</v>
      </c>
      <c r="B35" s="22">
        <f>24-D35+16</f>
        <v>39</v>
      </c>
      <c r="C35" s="69">
        <f>B36</f>
        <v>5</v>
      </c>
      <c r="D35" s="38">
        <f t="shared" si="1"/>
        <v>1</v>
      </c>
      <c r="E35" s="39">
        <f>IF($B$2&gt;=C35,1,0)</f>
        <v>0</v>
      </c>
      <c r="F35" s="48">
        <f>IF(NOT($G35="-"),VLOOKUP($G35,[1]DrawPrep!$A$3:$F$66,2,FALSE),"")</f>
        <v>0</v>
      </c>
      <c r="G35" s="48">
        <f>IF($B$2&gt;=C35,"-",VLOOKUP($B35,[1]Setup!$K$2:$L$65,2,FALSE))</f>
        <v>49</v>
      </c>
      <c r="H35" s="49">
        <f>IF(NOT($G35="-"),VLOOKUP($G35,[1]DrawPrep!$A$3:$F$66,6,FALSE),0)</f>
        <v>0</v>
      </c>
      <c r="I35" s="49">
        <v>44</v>
      </c>
      <c r="J35" s="50" t="str">
        <f>IF($I35&gt;0,VLOOKUP($I35,[1]DrawPrep!$C$3:$F$66,2,FALSE),"bye")</f>
        <v>ΠΑΠΑΔΟΠΟΥΛΟΣ ΠΑΝΑΓΙΩΤΗΣ</v>
      </c>
      <c r="K35" s="51" t="str">
        <f t="shared" si="0"/>
        <v>ΠΑΠΑΔΟΠΟΥΛΟΣ</v>
      </c>
      <c r="L35" s="52">
        <f>IF($I35&gt;0,VLOOKUP($I35,[1]DrawPrep!$C$3:$F$66,3,FALSE),"")</f>
        <v>0</v>
      </c>
      <c r="M35" s="31"/>
      <c r="N35" s="32" t="str">
        <f>UPPER(IF($A$2="R",IF(OR(M35=1,M35="a"),I35,IF(OR(M35=2,M35="b"),I36,"")),IF(OR(M35=1,M35="a"),K35,IF(OR(M35=2,M35="b"),K36,""))))</f>
        <v/>
      </c>
      <c r="O35" s="44"/>
      <c r="P35" s="67"/>
      <c r="Q35" s="59"/>
      <c r="R35" s="85"/>
      <c r="S35" s="5"/>
      <c r="T35" s="79"/>
    </row>
    <row r="36" spans="1:20" ht="13.15" customHeight="1" x14ac:dyDescent="0.2">
      <c r="A36" s="53">
        <v>32</v>
      </c>
      <c r="B36" s="70">
        <f>VALUE([1]Setup!E6)</f>
        <v>5</v>
      </c>
      <c r="C36" s="47"/>
      <c r="D36" s="38">
        <f t="shared" si="1"/>
        <v>1</v>
      </c>
      <c r="E36" s="47">
        <v>0</v>
      </c>
      <c r="F36" s="54">
        <f>IF(NOT($G36="-"),VLOOKUP($G36,[1]DrawPrep!$A$3:$F$66,2,FALSE),"")</f>
        <v>0</v>
      </c>
      <c r="G36" s="71">
        <v>12</v>
      </c>
      <c r="H36" s="72">
        <f>IF($G36&gt;0,VLOOKUP($G36,[1]DrawPrep!$A$3:$F$66,6,FALSE),0)</f>
        <v>0.5</v>
      </c>
      <c r="I36" s="72">
        <v>13</v>
      </c>
      <c r="J36" s="73" t="str">
        <f>IF($I36&gt;0,VLOOKUP($I36,[1]DrawPrep!$C$3:$F$66,2,FALSE),"bye")</f>
        <v>ΚΑΛΛΙΤΣΗΣ ΚΩΝΣΤΑΝΤΙΝΟΣ</v>
      </c>
      <c r="K36" s="74" t="str">
        <f t="shared" si="0"/>
        <v>ΚΑΛΛΙΤΣΗΣ</v>
      </c>
      <c r="L36" s="75">
        <f>IF($I36&gt;0,VLOOKUP($I36,[1]DrawPrep!$C$3:$F$66,3,FALSE),"")</f>
        <v>0</v>
      </c>
      <c r="M36" s="44"/>
      <c r="O36" s="76"/>
      <c r="P36" s="34"/>
      <c r="Q36" s="76"/>
      <c r="R36" s="79"/>
      <c r="S36" s="5"/>
      <c r="T36" s="85" t="str">
        <f>UPPER(IF($A$2="R",IF(OR(S36=1,S36="a"),R36,IF(OR(S36=2,S36="b"),R37,"")),IF(OR(S36=1,S36="a"),R36,IF(OR(S36=2,S36="b"),R37,""))))</f>
        <v/>
      </c>
    </row>
    <row r="37" spans="1:20" ht="13.15" customHeight="1" x14ac:dyDescent="0.2">
      <c r="A37" s="20">
        <v>33</v>
      </c>
      <c r="B37" s="70">
        <f>VALUE([1]Setup!E7)</f>
        <v>8</v>
      </c>
      <c r="C37" s="47"/>
      <c r="D37" s="38">
        <f t="shared" si="1"/>
        <v>1</v>
      </c>
      <c r="E37" s="47">
        <v>0</v>
      </c>
      <c r="F37" s="25">
        <f>IF(NOT($G37="-"),VLOOKUP($G37,[1]DrawPrep!$A$3:$F$66,2,FALSE),"")</f>
        <v>0</v>
      </c>
      <c r="G37" s="26">
        <v>5</v>
      </c>
      <c r="H37" s="27">
        <f>IF($G37&gt;0,VLOOKUP($G37,[1]DrawPrep!$A$3:$F$66,6,FALSE),0)</f>
        <v>1</v>
      </c>
      <c r="I37" s="27">
        <v>3</v>
      </c>
      <c r="J37" s="28" t="str">
        <f>IF($I37&gt;0,VLOOKUP($I37,[1]DrawPrep!$C$3:$F$66,2,FALSE),"bye")</f>
        <v>ΓΙΑΝΝΑΚΑΚΗΣ ΗΛΙΑΣ</v>
      </c>
      <c r="K37" s="29" t="str">
        <f t="shared" si="0"/>
        <v>ΓΙΑΝΝΑΚΑΚΗΣ</v>
      </c>
      <c r="L37" s="30">
        <f>IF($I37&gt;0,VLOOKUP($I37,[1]DrawPrep!$C$3:$F$66,3,FALSE),"")</f>
        <v>0</v>
      </c>
      <c r="M37" s="31"/>
      <c r="N37" s="32" t="str">
        <f>UPPER(IF($A$2="R",IF(OR(M37=1,M37="a"),I37,IF(OR(M37=2,M37="b"),I38,"")),IF(OR(M37=1,M37="1"),K37,IF(OR(M37=2,M37="b"),K38,""))))</f>
        <v/>
      </c>
      <c r="O37" s="59"/>
      <c r="P37" s="34"/>
      <c r="Q37" s="76"/>
      <c r="R37" s="85" t="str">
        <f>T52</f>
        <v/>
      </c>
      <c r="S37" s="5"/>
      <c r="T37" s="79"/>
    </row>
    <row r="38" spans="1:20" ht="13.15" customHeight="1" x14ac:dyDescent="0.2">
      <c r="A38" s="36">
        <v>34</v>
      </c>
      <c r="B38" s="22">
        <f>25-D38+16</f>
        <v>40</v>
      </c>
      <c r="C38" s="69">
        <f>B37</f>
        <v>8</v>
      </c>
      <c r="D38" s="38">
        <f t="shared" si="1"/>
        <v>1</v>
      </c>
      <c r="E38" s="39">
        <f>IF($B$2&gt;=C38,1,0)</f>
        <v>0</v>
      </c>
      <c r="F38" s="40">
        <f>IF(NOT($G38="-"),VLOOKUP($G38,[1]DrawPrep!$A$3:$F$66,2,FALSE),"")</f>
        <v>0</v>
      </c>
      <c r="G38" s="40">
        <f>IF($B$2&gt;=C38,"-",VLOOKUP($B38,[1]Setup!$K$2:$L$65,2,FALSE))</f>
        <v>53</v>
      </c>
      <c r="H38" s="41">
        <f>IF(NOT($G38="-"),VLOOKUP($G38,[1]DrawPrep!$A$3:$F$66,6,FALSE),0)</f>
        <v>0</v>
      </c>
      <c r="I38" s="41">
        <f>IF([1]Setup!$B$24="#",0,IF(NOT($G38="-"),VLOOKUP($G38,[1]DrawPrep!$A$3:$F$66,3,FALSE),0))</f>
        <v>23</v>
      </c>
      <c r="J38" s="42" t="str">
        <f>IF($I38&gt;0,VLOOKUP($I38,[1]DrawPrep!$C$3:$F$66,2,FALSE),"bye")</f>
        <v>ΔΙΑΛΥΝΑΣ ΓΙΩΡΓΟΣ</v>
      </c>
      <c r="K38" s="32" t="str">
        <f t="shared" si="0"/>
        <v>ΔΙΑΛΥΝΑΣ</v>
      </c>
      <c r="L38" s="43">
        <f>IF($I38&gt;0,VLOOKUP($I38,[1]DrawPrep!$C$3:$F$66,3,FALSE),"")</f>
        <v>0</v>
      </c>
      <c r="M38" s="44"/>
      <c r="N38" s="45"/>
      <c r="O38" s="31"/>
      <c r="P38" s="32" t="str">
        <f>UPPER(IF($A$2="R",IF(OR(O38=1,O38="a"),N37,IF(OR(O38=2,O38="b"),N39,"")),IF(OR(O38=1,O38="a"),N37,IF(OR(O38=2,O38="b"),N39,""))))</f>
        <v/>
      </c>
      <c r="Q38" s="59"/>
      <c r="R38" s="79"/>
      <c r="S38" s="5"/>
      <c r="T38" s="79"/>
    </row>
    <row r="39" spans="1:20" ht="13.15" customHeight="1" x14ac:dyDescent="0.2">
      <c r="A39" s="46">
        <v>35</v>
      </c>
      <c r="B39" s="22">
        <f>26-D39+16</f>
        <v>41</v>
      </c>
      <c r="C39" s="47"/>
      <c r="D39" s="38">
        <f t="shared" si="1"/>
        <v>1</v>
      </c>
      <c r="E39" s="47">
        <v>0</v>
      </c>
      <c r="F39" s="48">
        <f>IF(NOT($G39="-"),VLOOKUP($G39,[1]DrawPrep!$A$3:$F$66,2,FALSE),"")</f>
        <v>0</v>
      </c>
      <c r="G39" s="48">
        <f>VLOOKUP($B39,[1]Setup!$K$2:$L$65,2,FALSE)</f>
        <v>32</v>
      </c>
      <c r="H39" s="49">
        <f>IF($G39&gt;0,VLOOKUP($G39,[1]DrawPrep!$A$3:$F$66,6,FALSE),0)</f>
        <v>0</v>
      </c>
      <c r="I39" s="49">
        <f>IF([1]Setup!$B$24="#",0,IF($G39&gt;0,VLOOKUP($G39,[1]DrawPrep!$A$3:$F$66,3,FALSE),0))</f>
        <v>53</v>
      </c>
      <c r="J39" s="50" t="str">
        <f>IF($I39&gt;0,VLOOKUP($I39,[1]DrawPrep!$C$3:$F$66,2,FALSE),"bye")</f>
        <v>ΣΤΕΡΓΙΟΥ ΑΘΑΝΑΣΙΟΣ</v>
      </c>
      <c r="K39" s="51" t="str">
        <f t="shared" si="0"/>
        <v>ΣΤΕΡΓΙΟΥ</v>
      </c>
      <c r="L39" s="52">
        <f>IF($I39&gt;0,VLOOKUP($I39,[1]DrawPrep!$C$3:$F$66,3,FALSE),"")</f>
        <v>0</v>
      </c>
      <c r="M39" s="31"/>
      <c r="N39" s="32" t="str">
        <f>UPPER(IF($A$2="R",IF(OR(M39=1,M39="a"),I39,IF(OR(M39=2,M39="b"),I40,"")),IF(OR(M39=1,M39="a"),K39,IF(OR(M39=2,M39="b"),K40,""))))</f>
        <v/>
      </c>
      <c r="O39" s="44"/>
      <c r="P39" s="45"/>
      <c r="Q39" s="59"/>
      <c r="S39" s="59"/>
    </row>
    <row r="40" spans="1:20" ht="13.15" customHeight="1" x14ac:dyDescent="0.2">
      <c r="A40" s="53">
        <v>36</v>
      </c>
      <c r="B40" s="22">
        <f>27-D40+16</f>
        <v>42</v>
      </c>
      <c r="C40" s="47">
        <v>28</v>
      </c>
      <c r="D40" s="38">
        <f t="shared" si="1"/>
        <v>1</v>
      </c>
      <c r="E40" s="39">
        <f>IF($B$2&gt;=C40,1,0)</f>
        <v>0</v>
      </c>
      <c r="F40" s="54">
        <f>IF(NOT($G40="-"),VLOOKUP($G40,[1]DrawPrep!$A$3:$F$66,2,FALSE),"")</f>
        <v>0</v>
      </c>
      <c r="G40" s="54">
        <f>IF($B$2&gt;=C40,"-",VLOOKUP($B40,[1]Setup!$K$2:$L$65,2,FALSE))</f>
        <v>50</v>
      </c>
      <c r="H40" s="55">
        <f>IF(NOT($G40="-"),VLOOKUP($G40,[1]DrawPrep!$A$3:$F$66,6,FALSE),0)</f>
        <v>0</v>
      </c>
      <c r="I40" s="55">
        <f>IF([1]Setup!$B$24="#",0,IF(NOT($G40="-"),VLOOKUP($G40,[1]DrawPrep!$A$3:$F$66,3,FALSE),0))</f>
        <v>22</v>
      </c>
      <c r="J40" s="56" t="str">
        <f>IF($I40&gt;0,VLOOKUP($I40,[1]DrawPrep!$C$3:$F$66,2,FALSE),"bye")</f>
        <v>ΒΟΪΝΕΑ ΑΛΕΞΑΝΔΡΟΣ</v>
      </c>
      <c r="K40" s="57" t="str">
        <f t="shared" si="0"/>
        <v>ΒΟΪΝΕΑ</v>
      </c>
      <c r="L40" s="58">
        <f>IF($I40&gt;0,VLOOKUP($I40,[1]DrawPrep!$C$3:$F$66,3,FALSE),"")</f>
        <v>0</v>
      </c>
      <c r="M40" s="44"/>
      <c r="O40" s="59"/>
      <c r="P40" s="60"/>
      <c r="Q40" s="61"/>
      <c r="R40" s="32" t="str">
        <f>UPPER(IF($A$2="R",IF(OR(Q40=1,Q40="a"),P38,IF(OR(Q40=2,Q40="b"),P42,"")),IF(OR(Q40=1,Q40="a"),P38,IF(OR(Q40=2,Q40="b"),P42,""))))</f>
        <v/>
      </c>
      <c r="S40" s="59"/>
    </row>
    <row r="41" spans="1:20" ht="13.15" customHeight="1" x14ac:dyDescent="0.2">
      <c r="A41" s="20">
        <v>37</v>
      </c>
      <c r="B41" s="22">
        <f>28-D41+16</f>
        <v>43</v>
      </c>
      <c r="C41" s="47"/>
      <c r="D41" s="38">
        <f t="shared" si="1"/>
        <v>1</v>
      </c>
      <c r="E41" s="47">
        <v>0</v>
      </c>
      <c r="F41" s="25">
        <f>IF(NOT($G41="-"),VLOOKUP($G41,[1]DrawPrep!$A$3:$F$66,2,FALSE),"")</f>
        <v>0</v>
      </c>
      <c r="G41" s="25">
        <f>VLOOKUP($B41,[1]Setup!$K$2:$L$65,2,FALSE)</f>
        <v>26</v>
      </c>
      <c r="H41" s="62">
        <f>IF($G41&gt;0,VLOOKUP($G41,[1]DrawPrep!$A$3:$F$66,6,FALSE),0)</f>
        <v>0</v>
      </c>
      <c r="I41" s="62">
        <f>IF([1]Setup!$B$24="#",0,IF($G41&gt;0,VLOOKUP($G41,[1]DrawPrep!$A$3:$F$66,3,FALSE),0))</f>
        <v>37</v>
      </c>
      <c r="J41" s="63" t="str">
        <f>IF($I41&gt;0,VLOOKUP($I41,[1]DrawPrep!$C$3:$F$66,2,FALSE),"bye")</f>
        <v>ΛΙΤΣΑΣ ΙΓΝΑΤΙΟΣ</v>
      </c>
      <c r="K41" s="64" t="str">
        <f t="shared" si="0"/>
        <v>ΛΙΤΣΑΣ</v>
      </c>
      <c r="L41" s="65">
        <f>IF($I41&gt;0,VLOOKUP($I41,[1]DrawPrep!$C$3:$F$66,3,FALSE),"")</f>
        <v>0</v>
      </c>
      <c r="M41" s="66"/>
      <c r="N41" s="32" t="str">
        <f>UPPER(IF($A$2="R",IF(OR(M41=1,M41="a"),I41,IF(OR(M41=2,M41="b"),I42,"")),IF(OR(M41=1,M41="a"),K41,IF(OR(M41=2,M41="b"),K42,""))))</f>
        <v/>
      </c>
      <c r="O41" s="59"/>
      <c r="P41" s="60"/>
      <c r="Q41" s="33"/>
      <c r="R41" s="67"/>
      <c r="S41" s="59"/>
    </row>
    <row r="42" spans="1:20" ht="13.15" customHeight="1" x14ac:dyDescent="0.2">
      <c r="A42" s="36">
        <v>38</v>
      </c>
      <c r="B42" s="22">
        <f>29-D42+16</f>
        <v>44</v>
      </c>
      <c r="C42" s="47">
        <v>20</v>
      </c>
      <c r="D42" s="38">
        <f t="shared" si="1"/>
        <v>1</v>
      </c>
      <c r="E42" s="39">
        <f>IF($B$2&gt;=C42,1,0)</f>
        <v>0</v>
      </c>
      <c r="F42" s="40">
        <f>IF(NOT($G42="-"),VLOOKUP($G42,[1]DrawPrep!$A$3:$F$66,2,FALSE),"")</f>
        <v>0</v>
      </c>
      <c r="G42" s="40">
        <f>IF($B$2&gt;=C42,"-",VLOOKUP($B42,[1]Setup!$K$2:$L$65,2,FALSE))</f>
        <v>40</v>
      </c>
      <c r="H42" s="41">
        <f>IF(NOT($G42="-"),VLOOKUP($G42,[1]DrawPrep!$A$3:$F$66,6,FALSE),0)</f>
        <v>0</v>
      </c>
      <c r="I42" s="41">
        <f>IF([1]Setup!$B$24="#",0,IF(NOT($G42="-"),VLOOKUP($G42,[1]DrawPrep!$A$3:$F$66,3,FALSE),0))</f>
        <v>46</v>
      </c>
      <c r="J42" s="42" t="str">
        <f>IF($I42&gt;0,VLOOKUP($I42,[1]DrawPrep!$C$3:$F$66,2,FALSE),"bye")</f>
        <v>ΠΡΟΚΟΠΑΚΗΣ ΧΑΡΙΔΗΜΟΣ</v>
      </c>
      <c r="K42" s="32" t="str">
        <f t="shared" si="0"/>
        <v>ΠΡΟΚΟΠΑΚΗΣ</v>
      </c>
      <c r="L42" s="43">
        <f>IF($I42&gt;0,VLOOKUP($I42,[1]DrawPrep!$C$3:$F$66,3,FALSE),"")</f>
        <v>0</v>
      </c>
      <c r="M42" s="44"/>
      <c r="N42" s="45"/>
      <c r="O42" s="31"/>
      <c r="P42" s="32" t="str">
        <f>UPPER(IF($A$2="R",IF(OR(O42=1,O42="a"),N41,IF(OR(O42=2,O42="b"),N43,"")),IF(OR(O42=1,O42="a"),N41,IF(OR(O42=2,O42="b"),N43,""))))</f>
        <v/>
      </c>
      <c r="Q42" s="68"/>
      <c r="S42" s="59"/>
    </row>
    <row r="43" spans="1:20" ht="13.15" customHeight="1" x14ac:dyDescent="0.2">
      <c r="A43" s="46">
        <v>39</v>
      </c>
      <c r="B43" s="22">
        <f>30-D43+16</f>
        <v>45</v>
      </c>
      <c r="C43" s="69">
        <f>B44</f>
        <v>9</v>
      </c>
      <c r="D43" s="38">
        <f t="shared" si="1"/>
        <v>1</v>
      </c>
      <c r="E43" s="39">
        <f>IF($B$2&gt;=C43,1,0)</f>
        <v>0</v>
      </c>
      <c r="F43" s="48">
        <f>IF(NOT($G43="-"),VLOOKUP($G43,[1]DrawPrep!$A$3:$F$66,2,FALSE),"")</f>
        <v>0</v>
      </c>
      <c r="G43" s="48">
        <f>IF($B$2&gt;=C43,"-",VLOOKUP($B43,[1]Setup!$K$2:$L$65,2,FALSE))</f>
        <v>33</v>
      </c>
      <c r="H43" s="49">
        <f>IF(NOT($G43="-"),VLOOKUP($G43,[1]DrawPrep!$A$3:$F$66,6,FALSE),0)</f>
        <v>0</v>
      </c>
      <c r="I43" s="49">
        <f>IF([1]Setup!$B$24="#",0,IF(NOT($G43="-"),VLOOKUP($G43,[1]DrawPrep!$A$3:$F$66,3,FALSE),0))</f>
        <v>41</v>
      </c>
      <c r="J43" s="50" t="str">
        <f>IF($I43&gt;0,VLOOKUP($I43,[1]DrawPrep!$C$3:$F$66,2,FALSE),"bye")</f>
        <v>ΜΠΕΛΤΖΕΝΙΤΗΣ ΙΩΑΝΝΗΣ</v>
      </c>
      <c r="K43" s="51" t="str">
        <f t="shared" si="0"/>
        <v>ΜΠΕΛΤΖΕΝΙΤΗΣ</v>
      </c>
      <c r="L43" s="52">
        <f>IF($I43&gt;0,VLOOKUP($I43,[1]DrawPrep!$C$3:$F$66,3,FALSE),"")</f>
        <v>0</v>
      </c>
      <c r="M43" s="31"/>
      <c r="N43" s="32" t="str">
        <f>UPPER(IF($A$2="R",IF(OR(M43=1,M43="a"),I43,IF(OR(M43=2,M43="b"),I44,"")),IF(OR(M43=1,M43="a"),K43,IF(OR(M43=2,M43="b"),K44,""))))</f>
        <v/>
      </c>
      <c r="O43" s="44"/>
      <c r="P43" s="67"/>
      <c r="Q43" s="33"/>
      <c r="S43" s="59"/>
    </row>
    <row r="44" spans="1:20" ht="13.15" customHeight="1" x14ac:dyDescent="0.2">
      <c r="A44" s="53">
        <v>40</v>
      </c>
      <c r="B44" s="70">
        <f>VALUE([1]Setup!E12)</f>
        <v>9</v>
      </c>
      <c r="C44" s="47"/>
      <c r="D44" s="38">
        <f t="shared" si="1"/>
        <v>1</v>
      </c>
      <c r="E44" s="47">
        <v>0</v>
      </c>
      <c r="F44" s="54">
        <f>IF(NOT($G44="-"),VLOOKUP($G44,[1]DrawPrep!$A$3:$F$66,2,FALSE),"")</f>
        <v>0</v>
      </c>
      <c r="G44" s="71">
        <v>13</v>
      </c>
      <c r="H44" s="72">
        <f>IF($G44&gt;0,VLOOKUP($G44,[1]DrawPrep!$A$3:$F$66,6,FALSE),0)</f>
        <v>0.5</v>
      </c>
      <c r="I44" s="72">
        <v>14</v>
      </c>
      <c r="J44" s="73" t="str">
        <f>IF($I44&gt;0,VLOOKUP($I44,[1]DrawPrep!$C$3:$F$66,2,FALSE),"bye")</f>
        <v>ΚΑΠΙΡΗΣ ΣΤΑΜΑΤΗΣ</v>
      </c>
      <c r="K44" s="74" t="str">
        <f t="shared" si="0"/>
        <v>ΚΑΠΙΡΗΣ</v>
      </c>
      <c r="L44" s="75">
        <f>IF($I44&gt;0,VLOOKUP($I44,[1]DrawPrep!$C$3:$F$66,3,FALSE),"")</f>
        <v>0</v>
      </c>
      <c r="M44" s="44"/>
      <c r="N44" s="67"/>
      <c r="O44" s="76"/>
      <c r="P44" s="34"/>
      <c r="S44" s="18"/>
      <c r="T44" s="77" t="str">
        <f>UPPER(IF($A$2="R",IF(OR(S44=1,S44="a"),R40,IF(OR(S44=2,S44="b"),R48,"")),IF(OR(S44=1,S44="a"),R40,IF(OR(S44=2,S44="b"),R48,""))))</f>
        <v/>
      </c>
    </row>
    <row r="45" spans="1:20" ht="13.15" customHeight="1" x14ac:dyDescent="0.2">
      <c r="A45" s="20">
        <v>41</v>
      </c>
      <c r="B45" s="70">
        <f>VALUE([1]Setup!E17)</f>
        <v>15</v>
      </c>
      <c r="C45" s="47"/>
      <c r="D45" s="38">
        <f t="shared" si="1"/>
        <v>1</v>
      </c>
      <c r="E45" s="47">
        <v>0</v>
      </c>
      <c r="F45" s="79">
        <f>IF(NOT($G45="-"),VLOOKUP($G45,[1]DrawPrep!$A$3:$F$66,2,FALSE),"")</f>
        <v>0</v>
      </c>
      <c r="G45" s="80">
        <v>6</v>
      </c>
      <c r="H45" s="81">
        <f>IF($G45&gt;0,VLOOKUP($G45,[1]DrawPrep!$A$3:$F$66,6,FALSE),0)</f>
        <v>0.75</v>
      </c>
      <c r="I45" s="81">
        <v>6</v>
      </c>
      <c r="J45" s="82" t="str">
        <f>IF($I45&gt;0,VLOOKUP($I45,[1]DrawPrep!$C$3:$F$66,2,FALSE),"bye")</f>
        <v>ΜΟΥΡΑΤΟΓΛΟΥ ΑΡΙΣΤΟΤΕΛΗΣ</v>
      </c>
      <c r="K45" s="83" t="str">
        <f t="shared" si="0"/>
        <v>ΜΟΥΡΑΤΟΓΛΟΥ</v>
      </c>
      <c r="L45" s="84">
        <f>IF($I45&gt;0,VLOOKUP($I45,[1]DrawPrep!$C$3:$F$66,3,FALSE),"")</f>
        <v>0</v>
      </c>
      <c r="M45" s="31"/>
      <c r="N45" s="32" t="str">
        <f>UPPER(IF($A$2="R",IF(OR(M45=1,M45="a"),I45,IF(OR(M45=2,M45="b"),I46,"")),IF(OR(M45=1,M45="a"),K45,IF(OR(M45=2,M45="b"),K46,""))))</f>
        <v/>
      </c>
      <c r="O45" s="59"/>
      <c r="P45" s="34"/>
      <c r="S45" s="59"/>
      <c r="T45" s="79"/>
    </row>
    <row r="46" spans="1:20" ht="13.15" customHeight="1" x14ac:dyDescent="0.2">
      <c r="A46" s="36">
        <v>42</v>
      </c>
      <c r="B46" s="22">
        <f>31-D46+16</f>
        <v>46</v>
      </c>
      <c r="C46" s="69">
        <f>B45</f>
        <v>15</v>
      </c>
      <c r="D46" s="38">
        <f t="shared" si="1"/>
        <v>1</v>
      </c>
      <c r="E46" s="39">
        <f>IF($B$2&gt;=C46,1,0)</f>
        <v>0</v>
      </c>
      <c r="F46" s="79">
        <f>IF(NOT($G46="-"),VLOOKUP($G46,[1]DrawPrep!$A$3:$F$66,2,FALSE),"")</f>
        <v>0</v>
      </c>
      <c r="G46" s="79">
        <f>IF($B$2&gt;=C46,"-",VLOOKUP($B46,[1]Setup!$K$2:$L$65,2,FALSE))</f>
        <v>39</v>
      </c>
      <c r="H46" s="85">
        <f>IF(NOT($G46="-"),VLOOKUP($G46,[1]DrawPrep!$A$3:$F$66,6,FALSE),0)</f>
        <v>0</v>
      </c>
      <c r="I46" s="85">
        <f>IF([1]Setup!$B$24="#",0,IF(NOT($G46="-"),VLOOKUP($G46,[1]DrawPrep!$A$3:$F$66,3,FALSE),0))</f>
        <v>56</v>
      </c>
      <c r="J46" s="86" t="str">
        <f>IF($I46&gt;0,VLOOKUP($I46,[1]DrawPrep!$C$3:$F$66,2,FALSE),"bye")</f>
        <v>ΦΡΑΓΚΙΣΤΑΣ ΕΥΑΓΓΕΛΟΣ</v>
      </c>
      <c r="K46" s="77" t="str">
        <f t="shared" si="0"/>
        <v>ΦΡΑΓΚΙΣΤΑΣ</v>
      </c>
      <c r="L46" s="87">
        <f>IF($I46&gt;0,VLOOKUP($I46,[1]DrawPrep!$C$3:$F$66,3,FALSE),"")</f>
        <v>0</v>
      </c>
      <c r="M46" s="44"/>
      <c r="N46" s="45"/>
      <c r="O46" s="31"/>
      <c r="P46" s="32" t="str">
        <f>UPPER(IF($A$2="R",IF(OR(O46=1,O46="a"),N45,IF(OR(O46=2,O46="b"),N47,"")),IF(OR(O46=1,O46="a"),N45,IF(OR(O46=2,O46="b"),N47,""))))</f>
        <v/>
      </c>
      <c r="Q46" s="33"/>
      <c r="S46" s="59"/>
    </row>
    <row r="47" spans="1:20" ht="13.15" customHeight="1" x14ac:dyDescent="0.2">
      <c r="A47" s="46">
        <v>43</v>
      </c>
      <c r="B47" s="22">
        <f>32-D47+16</f>
        <v>47</v>
      </c>
      <c r="C47" s="47"/>
      <c r="D47" s="38">
        <f t="shared" si="1"/>
        <v>1</v>
      </c>
      <c r="E47" s="47">
        <v>0</v>
      </c>
      <c r="F47" s="48">
        <f>IF(NOT($G47="-"),VLOOKUP($G47,[1]DrawPrep!$A$3:$F$66,2,FALSE),"")</f>
        <v>0</v>
      </c>
      <c r="G47" s="48">
        <f>VLOOKUP($B47,[1]Setup!$K$2:$L$65,2,FALSE)</f>
        <v>61</v>
      </c>
      <c r="H47" s="49">
        <f>IF($G47&gt;0,VLOOKUP($G47,[1]DrawPrep!$A$3:$F$66,6,FALSE),0)</f>
        <v>0</v>
      </c>
      <c r="I47" s="49">
        <f>IF([1]Setup!$B$24="#",0,IF($G47&gt;0,VLOOKUP($G47,[1]DrawPrep!$A$3:$F$66,3,FALSE),0))</f>
        <v>34</v>
      </c>
      <c r="J47" s="50" t="str">
        <f>IF($I47&gt;0,VLOOKUP($I47,[1]DrawPrep!$C$3:$F$66,2,FALSE),"bye")</f>
        <v>ΚΟΥΤΣΟΥΛΗΣ ΜΑΡΙΟΣ</v>
      </c>
      <c r="K47" s="51" t="str">
        <f t="shared" si="0"/>
        <v>ΚΟΥΤΣΟΥΛΗΣ</v>
      </c>
      <c r="L47" s="52">
        <f>IF($I47&gt;0,VLOOKUP($I47,[1]DrawPrep!$C$3:$F$66,3,FALSE),"")</f>
        <v>0</v>
      </c>
      <c r="M47" s="31"/>
      <c r="N47" s="32" t="str">
        <f>UPPER(IF($A$2="R",IF(OR(M47=1,M47="a"),I47,IF(OR(M47=2,M47="b"),I48,"")),IF(OR(M47=1,M47="a"),K47,IF(OR(M47=2,M47="b"),K48,""))))</f>
        <v/>
      </c>
      <c r="O47" s="44"/>
      <c r="P47" s="45"/>
      <c r="Q47" s="33"/>
      <c r="S47" s="59"/>
    </row>
    <row r="48" spans="1:20" ht="13.15" customHeight="1" x14ac:dyDescent="0.2">
      <c r="A48" s="53">
        <v>44</v>
      </c>
      <c r="B48" s="22">
        <f>33-D48+16</f>
        <v>48</v>
      </c>
      <c r="C48" s="47">
        <v>24</v>
      </c>
      <c r="D48" s="38">
        <f t="shared" si="1"/>
        <v>1</v>
      </c>
      <c r="E48" s="39">
        <f>IF($B$2&gt;=C48,1,0)</f>
        <v>0</v>
      </c>
      <c r="F48" s="54">
        <f>IF(NOT($G48="-"),VLOOKUP($G48,[1]DrawPrep!$A$3:$F$66,2,FALSE),"")</f>
        <v>0</v>
      </c>
      <c r="G48" s="54">
        <f>IF($B$2&gt;=C48,"-",VLOOKUP($B48,[1]Setup!$K$2:$L$65,2,FALSE))</f>
        <v>52</v>
      </c>
      <c r="H48" s="55">
        <f>IF(NOT($G48="-"),VLOOKUP($G48,[1]DrawPrep!$A$3:$F$66,6,FALSE),0)</f>
        <v>0</v>
      </c>
      <c r="I48" s="55">
        <f>IF([1]Setup!$B$24="#",0,IF(NOT($G48="-"),VLOOKUP($G48,[1]DrawPrep!$A$3:$F$66,3,FALSE),0))</f>
        <v>35</v>
      </c>
      <c r="J48" s="56" t="str">
        <f>IF($I48&gt;0,VLOOKUP($I48,[1]DrawPrep!$C$3:$F$66,2,FALSE),"bye")</f>
        <v>ΛΑΖΑΡΑΚΗΣ ΓΙΩΡΓΟΣ</v>
      </c>
      <c r="K48" s="57" t="str">
        <f t="shared" si="0"/>
        <v>ΛΑΖΑΡΑΚΗΣ</v>
      </c>
      <c r="L48" s="58">
        <f>IF($I48&gt;0,VLOOKUP($I48,[1]DrawPrep!$C$3:$F$66,3,FALSE),"")</f>
        <v>0</v>
      </c>
      <c r="M48" s="88"/>
      <c r="N48" s="67"/>
      <c r="O48" s="59"/>
      <c r="P48" s="60"/>
      <c r="Q48" s="61"/>
      <c r="R48" s="32" t="str">
        <f>UPPER(IF($A$2="R",IF(OR(Q48=1,Q48="a"),P46,IF(OR(Q48=2,Q48="b"),P50,"")),IF(OR(Q48=1,Q48="a"),P46,IF(OR(Q48=2,Q48="b"),P50,""))))</f>
        <v/>
      </c>
      <c r="S48" s="59"/>
    </row>
    <row r="49" spans="1:20" ht="13.15" customHeight="1" x14ac:dyDescent="0.2">
      <c r="A49" s="20">
        <v>45</v>
      </c>
      <c r="B49" s="22">
        <f>34-D49+16</f>
        <v>49</v>
      </c>
      <c r="C49" s="47"/>
      <c r="D49" s="38">
        <f t="shared" si="1"/>
        <v>1</v>
      </c>
      <c r="E49" s="47">
        <v>0</v>
      </c>
      <c r="F49" s="79">
        <f>IF(NOT($G49="-"),VLOOKUP($G49,[1]DrawPrep!$A$3:$F$66,2,FALSE),"")</f>
        <v>0</v>
      </c>
      <c r="G49" s="79">
        <f>VLOOKUP($B49,[1]Setup!$K$2:$L$65,2,FALSE)</f>
        <v>37</v>
      </c>
      <c r="H49" s="85">
        <f>IF($G49&gt;0,VLOOKUP($G49,[1]DrawPrep!$A$3:$F$66,6,FALSE),0)</f>
        <v>0</v>
      </c>
      <c r="I49" s="62">
        <v>58</v>
      </c>
      <c r="J49" s="86" t="str">
        <f>IF($I49&gt;0,VLOOKUP($I49,[1]DrawPrep!$C$3:$F$66,2,FALSE),"bye")</f>
        <v>ΧΑΜΑΜΗΣ ΝΙΚΟΣ</v>
      </c>
      <c r="K49" s="77" t="str">
        <f t="shared" si="0"/>
        <v>ΧΑΜΑΜΗΣ</v>
      </c>
      <c r="L49" s="87">
        <f>IF($I49&gt;0,VLOOKUP($I49,[1]DrawPrep!$C$3:$F$66,3,FALSE),"")</f>
        <v>0</v>
      </c>
      <c r="M49" s="31"/>
      <c r="N49" s="32" t="str">
        <f>UPPER(IF($A$2="R",IF(OR(M49=1,M49="a"),I49,IF(OR(M49=2,M49="b"),I50,"")),IF(OR(M49=1,M49="a"),K49,IF(OR(M49=2,M49="b"),K50,""))))</f>
        <v/>
      </c>
      <c r="O49" s="59"/>
      <c r="P49" s="60"/>
      <c r="Q49" s="33"/>
      <c r="S49" s="59"/>
    </row>
    <row r="50" spans="1:20" ht="13.15" customHeight="1" x14ac:dyDescent="0.2">
      <c r="A50" s="36">
        <v>46</v>
      </c>
      <c r="B50" s="22">
        <f>35-D50+16</f>
        <v>50</v>
      </c>
      <c r="C50" s="47">
        <v>32</v>
      </c>
      <c r="D50" s="38">
        <f t="shared" si="1"/>
        <v>1</v>
      </c>
      <c r="E50" s="39">
        <f>IF($B$2&gt;=C50,1,0)</f>
        <v>0</v>
      </c>
      <c r="F50" s="79">
        <f>IF(NOT($G50="-"),VLOOKUP($G50,[1]DrawPrep!$A$3:$F$66,2,FALSE),"")</f>
        <v>0</v>
      </c>
      <c r="G50" s="79">
        <f>IF($B$2&gt;=C50,"-",VLOOKUP($B50,[1]Setup!$K$2:$L$65,2,FALSE))</f>
        <v>63</v>
      </c>
      <c r="H50" s="85">
        <f>IF(NOT($G50="-"),VLOOKUP($G50,[1]DrawPrep!$A$3:$F$66,6,FALSE),0)</f>
        <v>0</v>
      </c>
      <c r="I50" s="85">
        <f>IF([1]Setup!$B$24="#",0,IF(NOT($G50="-"),VLOOKUP($G50,[1]DrawPrep!$A$3:$F$66,3,FALSE),0))</f>
        <v>28</v>
      </c>
      <c r="J50" s="86" t="str">
        <f>IF($I50&gt;0,VLOOKUP($I50,[1]DrawPrep!$C$3:$F$66,2,FALSE),"bye")</f>
        <v>ΚΑΛΟΓΕΡΟΠΟΥΛΟΣ ΠΑΝΑΓΙΩΤΗΣ</v>
      </c>
      <c r="K50" s="77" t="str">
        <f t="shared" si="0"/>
        <v>ΚΑΛΟΓΕΡΟΠΟΥΛΟΣ</v>
      </c>
      <c r="L50" s="87">
        <f>IF($I50&gt;0,VLOOKUP($I50,[1]DrawPrep!$C$3:$F$66,3,FALSE),"")</f>
        <v>0</v>
      </c>
      <c r="M50" s="44"/>
      <c r="N50" s="45"/>
      <c r="O50" s="31"/>
      <c r="P50" s="32" t="str">
        <f>UPPER(IF($A$2="R",IF(OR(O50=1,O50="a"),N49,IF(OR(O50=2,O50="b"),N51,"")),IF(OR(O50=1,O50="a"),N49,IF(OR(O50=2,O50="b"),N51,""))))</f>
        <v/>
      </c>
      <c r="Q50" s="68"/>
      <c r="S50" s="59"/>
    </row>
    <row r="51" spans="1:20" ht="13.15" customHeight="1" x14ac:dyDescent="0.2">
      <c r="A51" s="46">
        <v>47</v>
      </c>
      <c r="B51" s="22">
        <f>36-D51+16</f>
        <v>51</v>
      </c>
      <c r="C51" s="69">
        <f>B52</f>
        <v>3</v>
      </c>
      <c r="D51" s="38">
        <f t="shared" si="1"/>
        <v>1</v>
      </c>
      <c r="E51" s="39">
        <f>IF($B$2&gt;=C51,1,0)</f>
        <v>0</v>
      </c>
      <c r="F51" s="48">
        <f>IF(NOT($G51="-"),VLOOKUP($G51,[1]DrawPrep!$A$3:$F$66,2,FALSE),"")</f>
        <v>0</v>
      </c>
      <c r="G51" s="48">
        <f>IF($B$2&gt;=C51,"-",VLOOKUP($B51,[1]Setup!$K$2:$L$65,2,FALSE))</f>
        <v>21</v>
      </c>
      <c r="H51" s="49">
        <f>IF(NOT($G51="-"),VLOOKUP($G51,[1]DrawPrep!$A$3:$F$66,6,FALSE),0)</f>
        <v>0</v>
      </c>
      <c r="I51" s="49">
        <f>IF([1]Setup!$B$24="#",0,IF(NOT($G51="-"),VLOOKUP($G51,[1]DrawPrep!$A$3:$F$66,3,FALSE),0))</f>
        <v>54</v>
      </c>
      <c r="J51" s="50" t="str">
        <f>IF($I51&gt;0,VLOOKUP($I51,[1]DrawPrep!$C$3:$F$66,2,FALSE),"bye")</f>
        <v>ΤΕΝΕΝΤΕΣ ΧΡΗΣΤΟΣ</v>
      </c>
      <c r="K51" s="51" t="str">
        <f t="shared" si="0"/>
        <v>ΤΕΝΕΝΤΕΣ</v>
      </c>
      <c r="L51" s="52">
        <f>IF($I51&gt;0,VLOOKUP($I51,[1]DrawPrep!$C$3:$F$66,3,FALSE),"")</f>
        <v>0</v>
      </c>
      <c r="M51" s="31"/>
      <c r="N51" s="32" t="str">
        <f>UPPER(IF($A$2="R",IF(OR(M51=1,M51="a"),I51,IF(OR(M51=2,M51="b"),I52,"")),IF(OR(M51=1,M51="a"),K51,IF(OR(M51=2,M51="b"),K52,""))))</f>
        <v/>
      </c>
      <c r="O51" s="44"/>
      <c r="P51" s="67"/>
      <c r="Q51" s="33"/>
      <c r="S51" s="59"/>
    </row>
    <row r="52" spans="1:20" ht="13.15" customHeight="1" x14ac:dyDescent="0.2">
      <c r="A52" s="53">
        <v>48</v>
      </c>
      <c r="B52" s="70">
        <f>VALUE([1]Setup!E3)</f>
        <v>3</v>
      </c>
      <c r="C52" s="47"/>
      <c r="D52" s="38">
        <f t="shared" si="1"/>
        <v>1</v>
      </c>
      <c r="E52" s="47">
        <v>0</v>
      </c>
      <c r="F52" s="54">
        <f>IF(NOT($G52="-"),VLOOKUP($G52,[1]DrawPrep!$A$3:$F$66,2,FALSE),"")</f>
        <v>0</v>
      </c>
      <c r="G52" s="71">
        <v>14</v>
      </c>
      <c r="H52" s="72">
        <f>IF($G52&gt;0,VLOOKUP($G52,[1]DrawPrep!$A$3:$F$66,6,FALSE),0)</f>
        <v>0.5</v>
      </c>
      <c r="I52" s="72">
        <v>10</v>
      </c>
      <c r="J52" s="73" t="str">
        <f>IF($I52&gt;0,VLOOKUP($I52,[1]DrawPrep!$C$3:$F$66,2,FALSE),"bye")</f>
        <v>ΒΕΝΕΤΗΣ ΤΑΣΟΣ</v>
      </c>
      <c r="K52" s="74" t="str">
        <f t="shared" si="0"/>
        <v>ΒΕΝΕΤΗΣ</v>
      </c>
      <c r="L52" s="75">
        <f>IF($I52&gt;0,VLOOKUP($I52,[1]DrawPrep!$C$3:$F$66,3,FALSE),"")</f>
        <v>0</v>
      </c>
      <c r="M52" s="44"/>
      <c r="N52" s="67"/>
      <c r="O52" s="59"/>
      <c r="P52" s="34"/>
      <c r="Q52" s="33"/>
      <c r="S52" s="18"/>
      <c r="T52" s="77" t="str">
        <f>UPPER(IF($A$2="R",IF(OR(S52=1,S52="a"),T44,IF(OR(S52=2,S52="b"),T60,"")),IF(OR(S52=1,S52="a"),T44,IF(OR(S52=2,S52="b"),T60,""))))</f>
        <v/>
      </c>
    </row>
    <row r="53" spans="1:20" ht="13.15" customHeight="1" x14ac:dyDescent="0.2">
      <c r="A53" s="20">
        <v>49</v>
      </c>
      <c r="B53" s="70">
        <f>VALUE([1]Setup!E8)</f>
        <v>6</v>
      </c>
      <c r="C53" s="47"/>
      <c r="D53" s="38">
        <f t="shared" si="1"/>
        <v>1</v>
      </c>
      <c r="E53" s="47">
        <v>0</v>
      </c>
      <c r="F53" s="79">
        <f>IF(NOT($G53="-"),VLOOKUP($G53,[1]DrawPrep!$A$3:$F$66,2,FALSE),"")</f>
        <v>0</v>
      </c>
      <c r="G53" s="80">
        <v>7</v>
      </c>
      <c r="H53" s="81">
        <f>IF($G53&gt;0,VLOOKUP($G53,[1]DrawPrep!$A$3:$F$66,6,FALSE),0)</f>
        <v>0.75</v>
      </c>
      <c r="I53" s="81">
        <v>9</v>
      </c>
      <c r="J53" s="82" t="str">
        <f>IF($I53&gt;0,VLOOKUP($I53,[1]DrawPrep!$C$3:$F$66,2,FALSE),"bye")</f>
        <v>ΜΠΙΣΜΠΙΚΟΣ ΝΙΚΟΛΑΣ</v>
      </c>
      <c r="K53" s="83" t="str">
        <f t="shared" si="0"/>
        <v>ΜΠΙΣΜΠΙΚΟΣ</v>
      </c>
      <c r="L53" s="84">
        <f>IF($I53&gt;0,VLOOKUP($I53,[1]DrawPrep!$C$3:$F$66,3,FALSE),"")</f>
        <v>0</v>
      </c>
      <c r="M53" s="31"/>
      <c r="N53" s="32" t="str">
        <f>UPPER(IF($A$2="R",IF(OR(M53=1,M53="a"),I53,IF(OR(M53=2,M53="b"),I54,"")),IF(OR(M53=1,M53="a"),K53,IF(OR(M53=2,M53="b"),K54,""))))</f>
        <v/>
      </c>
      <c r="O53" s="59"/>
      <c r="P53" s="34"/>
      <c r="S53" s="59"/>
      <c r="T53" s="79"/>
    </row>
    <row r="54" spans="1:20" ht="13.15" customHeight="1" x14ac:dyDescent="0.2">
      <c r="A54" s="36">
        <v>50</v>
      </c>
      <c r="B54" s="22">
        <f>37-D54+16</f>
        <v>52</v>
      </c>
      <c r="C54" s="69">
        <f>B53</f>
        <v>6</v>
      </c>
      <c r="D54" s="38">
        <f t="shared" si="1"/>
        <v>1</v>
      </c>
      <c r="E54" s="39">
        <f>IF($B$2&gt;=C54,1,0)</f>
        <v>0</v>
      </c>
      <c r="F54" s="40">
        <f>IF(NOT($G54="-"),VLOOKUP($G54,[1]DrawPrep!$A$3:$F$66,2,FALSE),"")</f>
        <v>0</v>
      </c>
      <c r="G54" s="40">
        <f>IF($B$2&gt;=C54,"-",VLOOKUP($B54,[1]Setup!$K$2:$L$65,2,FALSE))</f>
        <v>46</v>
      </c>
      <c r="H54" s="41">
        <f>IF(NOT($G54="-"),VLOOKUP($G54,[1]DrawPrep!$A$3:$F$66,6,FALSE),0)</f>
        <v>0</v>
      </c>
      <c r="I54" s="41">
        <v>60</v>
      </c>
      <c r="J54" s="42" t="str">
        <f>IF($I54&gt;0,VLOOKUP($I54,[1]DrawPrep!$C$3:$F$66,2,FALSE),"bye")</f>
        <v>ΧΑΤΖΗΑΠΟΣΤΟΛΟΥ ΑΧΙΛΛΕΑΣ</v>
      </c>
      <c r="K54" s="32" t="str">
        <f t="shared" si="0"/>
        <v>ΧΑΤΖΗΑΠΟΣΤΟΛΟΥ</v>
      </c>
      <c r="L54" s="43">
        <f>IF($I54&gt;0,VLOOKUP($I54,[1]DrawPrep!$C$3:$F$66,3,FALSE),"")</f>
        <v>0</v>
      </c>
      <c r="M54" s="44"/>
      <c r="N54" s="45"/>
      <c r="O54" s="31"/>
      <c r="P54" s="32" t="str">
        <f>UPPER(IF($A$2="R",IF(OR(O54=1,O54="a"),N53,IF(OR(O54=2,O54="b"),N55,"")),IF(OR(O54=1,O54="a"),N53,IF(OR(O54=2,O54="b"),N55,""))))</f>
        <v/>
      </c>
      <c r="Q54" s="33"/>
      <c r="S54" s="59"/>
    </row>
    <row r="55" spans="1:20" ht="13.15" customHeight="1" x14ac:dyDescent="0.2">
      <c r="A55" s="46">
        <v>51</v>
      </c>
      <c r="B55" s="22">
        <f>38-D55+16</f>
        <v>53</v>
      </c>
      <c r="C55" s="47"/>
      <c r="D55" s="38">
        <f t="shared" si="1"/>
        <v>1</v>
      </c>
      <c r="E55" s="47">
        <v>0</v>
      </c>
      <c r="F55" s="48">
        <f>IF(NOT($G55="-"),VLOOKUP($G55,[1]DrawPrep!$A$3:$F$66,2,FALSE),"")</f>
        <v>0</v>
      </c>
      <c r="G55" s="48">
        <f>VLOOKUP($B55,[1]Setup!$K$2:$L$65,2,FALSE)</f>
        <v>45</v>
      </c>
      <c r="H55" s="49">
        <f>IF($G55&gt;0,VLOOKUP($G55,[1]DrawPrep!$A$3:$F$66,6,FALSE),0)</f>
        <v>0</v>
      </c>
      <c r="I55" s="49">
        <f>IF([1]Setup!$B$24="#",0,IF($G55&gt;0,VLOOKUP($G55,[1]DrawPrep!$A$3:$F$66,3,FALSE),0))</f>
        <v>21</v>
      </c>
      <c r="J55" s="50" t="str">
        <f>IF($I55&gt;0,VLOOKUP($I55,[1]DrawPrep!$C$3:$F$66,2,FALSE),"bye")</f>
        <v>ΒΑΡΦΗΣ ΙΑΣΩΝ</v>
      </c>
      <c r="K55" s="51" t="str">
        <f t="shared" si="0"/>
        <v>ΒΑΡΦΗΣ</v>
      </c>
      <c r="L55" s="52">
        <f>IF($I55&gt;0,VLOOKUP($I55,[1]DrawPrep!$C$3:$F$66,3,FALSE),"")</f>
        <v>0</v>
      </c>
      <c r="M55" s="31"/>
      <c r="N55" s="43" t="str">
        <f>UPPER(IF($A$2="R",IF(OR(M55=1,M55="a"),I55,IF(OR(M55=2,M55="b"),I56,"")),IF(OR(M55=1,M55="a"),K55,IF(OR(M55=2,M55="b"),K56,""))))</f>
        <v/>
      </c>
      <c r="O55" s="44"/>
      <c r="P55" s="45"/>
      <c r="Q55" s="33"/>
      <c r="S55" s="59"/>
    </row>
    <row r="56" spans="1:20" ht="13.15" customHeight="1" x14ac:dyDescent="0.2">
      <c r="A56" s="53">
        <v>52</v>
      </c>
      <c r="B56" s="22">
        <f>39-D56+16</f>
        <v>54</v>
      </c>
      <c r="C56" s="47">
        <v>22</v>
      </c>
      <c r="D56" s="38">
        <f t="shared" si="1"/>
        <v>1</v>
      </c>
      <c r="E56" s="39">
        <f>IF($B$2&gt;=C56,1,0)</f>
        <v>0</v>
      </c>
      <c r="F56" s="54">
        <f>IF(NOT($G56="-"),VLOOKUP($G56,[1]DrawPrep!$A$3:$F$66,2,FALSE),"")</f>
        <v>0</v>
      </c>
      <c r="G56" s="54">
        <f>IF($B$2&gt;=C56,"-",VLOOKUP($B56,[1]Setup!$K$2:$L$65,2,FALSE))</f>
        <v>48</v>
      </c>
      <c r="H56" s="55">
        <f>IF(NOT($G56="-"),VLOOKUP($G56,[1]DrawPrep!$A$3:$F$66,6,FALSE),0)</f>
        <v>0</v>
      </c>
      <c r="I56" s="55">
        <f>IF([1]Setup!$B$24="#",0,IF(NOT($G56="-"),VLOOKUP($G56,[1]DrawPrep!$A$3:$F$66,3,FALSE),0))</f>
        <v>27</v>
      </c>
      <c r="J56" s="56" t="str">
        <f>IF($I56&gt;0,VLOOKUP($I56,[1]DrawPrep!$C$3:$F$66,2,FALSE),"bye")</f>
        <v>ΚΑΛΛΙΝΙΚΟΣ ΝΙΚΟΣ</v>
      </c>
      <c r="K56" s="57" t="str">
        <f t="shared" si="0"/>
        <v>ΚΑΛΛΙΝΙΚΟΣ</v>
      </c>
      <c r="L56" s="58">
        <f>IF($I56&gt;0,VLOOKUP($I56,[1]DrawPrep!$C$3:$F$66,3,FALSE),"")</f>
        <v>0</v>
      </c>
      <c r="M56" s="44"/>
      <c r="O56" s="59"/>
      <c r="P56" s="60"/>
      <c r="Q56" s="89"/>
      <c r="R56" s="32" t="str">
        <f>UPPER(IF($A$2="R",IF(OR(Q56=1,Q56="a"),P54,IF(OR(Q56=2,Q56="b"),P58,"")),IF(OR(Q56=1,Q56="a"),P54,IF(OR(Q56=2,Q56="b"),P58,""))))</f>
        <v/>
      </c>
      <c r="S56" s="59"/>
    </row>
    <row r="57" spans="1:20" ht="13.15" customHeight="1" x14ac:dyDescent="0.2">
      <c r="A57" s="20">
        <v>53</v>
      </c>
      <c r="B57" s="22">
        <f>40-D57+16</f>
        <v>55</v>
      </c>
      <c r="C57" s="47"/>
      <c r="D57" s="38">
        <f t="shared" si="1"/>
        <v>1</v>
      </c>
      <c r="E57" s="47">
        <v>0</v>
      </c>
      <c r="F57" s="79">
        <f>IF(NOT($G57="-"),VLOOKUP($G57,[1]DrawPrep!$A$3:$F$66,2,FALSE),"")</f>
        <v>0</v>
      </c>
      <c r="G57" s="79">
        <f>VLOOKUP($B57,[1]Setup!$K$2:$L$65,2,FALSE)</f>
        <v>30</v>
      </c>
      <c r="H57" s="85">
        <f>IF($G57&gt;0,VLOOKUP($G57,[1]DrawPrep!$A$3:$F$66,6,FALSE),0)</f>
        <v>0</v>
      </c>
      <c r="I57" s="62">
        <v>57</v>
      </c>
      <c r="J57" s="86" t="str">
        <f>IF($I57&gt;0,VLOOKUP($I57,[1]DrawPrep!$C$3:$F$66,2,FALSE),"bye")</f>
        <v>ΧΑΜΑΜΗΣ ΓΙΩΡΓΟΣ</v>
      </c>
      <c r="K57" s="77" t="str">
        <f t="shared" si="0"/>
        <v>ΧΑΜΑΜΗΣ</v>
      </c>
      <c r="L57" s="87">
        <f>IF($I57&gt;0,VLOOKUP($I57,[1]DrawPrep!$C$3:$F$66,3,FALSE),"")</f>
        <v>0</v>
      </c>
      <c r="M57" s="31"/>
      <c r="N57" s="32" t="str">
        <f>UPPER(IF($A$2="R",IF(OR(M57=1,M57="a"),I57,IF(OR(M57=2,M57="b"),I58,"")),IF(OR(M57=1,M57="a"),K57,IF(OR(M57=2,M57="b"),K58,""))))</f>
        <v/>
      </c>
      <c r="O57" s="59"/>
      <c r="P57" s="60"/>
      <c r="Q57" s="33"/>
      <c r="R57" s="67"/>
      <c r="S57" s="59"/>
    </row>
    <row r="58" spans="1:20" ht="13.15" customHeight="1" x14ac:dyDescent="0.2">
      <c r="A58" s="36">
        <v>54</v>
      </c>
      <c r="B58" s="22">
        <f>41-D58+16</f>
        <v>56</v>
      </c>
      <c r="C58" s="47">
        <v>26</v>
      </c>
      <c r="D58" s="38">
        <f t="shared" si="1"/>
        <v>1</v>
      </c>
      <c r="E58" s="39">
        <f>IF($B$2&gt;=C58,1,0)</f>
        <v>0</v>
      </c>
      <c r="F58" s="79">
        <f>IF(NOT($G58="-"),VLOOKUP($G58,[1]DrawPrep!$A$3:$F$66,2,FALSE),"")</f>
        <v>0</v>
      </c>
      <c r="G58" s="79">
        <f>IF($B$2&gt;=C58,"-",VLOOKUP($B58,[1]Setup!$K$2:$L$65,2,FALSE))</f>
        <v>18</v>
      </c>
      <c r="H58" s="85">
        <f>IF(NOT($G58="-"),VLOOKUP($G58,[1]DrawPrep!$A$3:$F$66,6,FALSE),0)</f>
        <v>0.1</v>
      </c>
      <c r="I58" s="85">
        <f>IF([1]Setup!$B$24="#",0,IF(NOT($G58="-"),VLOOKUP($G58,[1]DrawPrep!$A$3:$F$66,3,FALSE),0))</f>
        <v>16</v>
      </c>
      <c r="J58" s="86" t="str">
        <f>IF($I58&gt;0,VLOOKUP($I58,[1]DrawPrep!$C$3:$F$66,2,FALSE),"bye")</f>
        <v>ΔΗΜΑΣ ΑΛΕΞΙΟΣ</v>
      </c>
      <c r="K58" s="77" t="str">
        <f t="shared" si="0"/>
        <v>ΔΗΜΑΣ</v>
      </c>
      <c r="L58" s="87">
        <f>IF($I58&gt;0,VLOOKUP($I58,[1]DrawPrep!$C$3:$F$66,3,FALSE),"")</f>
        <v>0</v>
      </c>
      <c r="M58" s="44"/>
      <c r="N58" s="45"/>
      <c r="O58" s="31"/>
      <c r="P58" s="32" t="str">
        <f>UPPER(IF($A$2="R",IF(OR(O58=1,O58="a"),N57,IF(OR(O58=2,O58="b"),N59,"")),IF(OR(O58=1,O58="a"),N57,IF(OR(O58=2,O58="b"),N59,""))))</f>
        <v/>
      </c>
      <c r="Q58" s="68"/>
      <c r="S58" s="59"/>
    </row>
    <row r="59" spans="1:20" ht="13.15" customHeight="1" x14ac:dyDescent="0.2">
      <c r="A59" s="46">
        <v>55</v>
      </c>
      <c r="B59" s="22">
        <f>42-D59+16</f>
        <v>57</v>
      </c>
      <c r="C59" s="69">
        <f>B60</f>
        <v>11</v>
      </c>
      <c r="D59" s="38">
        <f t="shared" si="1"/>
        <v>1</v>
      </c>
      <c r="E59" s="39">
        <f>IF($B$2&gt;=C59,1,0)</f>
        <v>0</v>
      </c>
      <c r="F59" s="48">
        <f>IF(NOT($G59="-"),VLOOKUP($G59,[1]DrawPrep!$A$3:$F$66,2,FALSE),"")</f>
        <v>0</v>
      </c>
      <c r="G59" s="48">
        <f>IF($B$2&gt;=C59,"-",VLOOKUP($B59,[1]Setup!$K$2:$L$65,2,FALSE))</f>
        <v>35</v>
      </c>
      <c r="H59" s="49">
        <f>IF(NOT($G59="-"),VLOOKUP($G59,[1]DrawPrep!$A$3:$F$66,6,FALSE),0)</f>
        <v>0</v>
      </c>
      <c r="I59" s="49">
        <v>39</v>
      </c>
      <c r="J59" s="50" t="str">
        <f>IF($I59&gt;0,VLOOKUP($I59,[1]DrawPrep!$C$3:$F$66,2,FALSE),"bye")</f>
        <v>ΜΕΝΕΞΕΛΗΣ ΟΔΥΣΣΕΑΣ</v>
      </c>
      <c r="K59" s="51" t="str">
        <f t="shared" si="0"/>
        <v>ΜΕΝΕΞΕΛΗΣ</v>
      </c>
      <c r="L59" s="52">
        <f>IF($I59&gt;0,VLOOKUP($I59,[1]DrawPrep!$C$3:$F$66,3,FALSE),"")</f>
        <v>0</v>
      </c>
      <c r="M59" s="31"/>
      <c r="N59" s="43" t="str">
        <f>UPPER(IF($A$2="R",IF(OR(M59=1,M59="a"),I59,IF(OR(M59=2,M59="b"),I60,"")),IF(OR(M59=1,M59="a"),K59,IF(OR(M59=2,M59="b"),K60,""))))</f>
        <v/>
      </c>
      <c r="O59" s="44"/>
      <c r="P59" s="67"/>
      <c r="Q59" s="33"/>
      <c r="S59" s="59"/>
    </row>
    <row r="60" spans="1:20" ht="13.15" customHeight="1" x14ac:dyDescent="0.2">
      <c r="A60" s="53">
        <v>56</v>
      </c>
      <c r="B60" s="70">
        <f>VALUE([1]Setup!E13)</f>
        <v>11</v>
      </c>
      <c r="C60" s="47"/>
      <c r="D60" s="38">
        <f t="shared" si="1"/>
        <v>1</v>
      </c>
      <c r="E60" s="47">
        <v>0</v>
      </c>
      <c r="F60" s="54">
        <f>IF(NOT($G60="-"),VLOOKUP($G60,[1]DrawPrep!$A$3:$F$66,2,FALSE),"")</f>
        <v>0</v>
      </c>
      <c r="G60" s="71">
        <v>15</v>
      </c>
      <c r="H60" s="72">
        <f>IF($G60&gt;0,VLOOKUP($G60,[1]DrawPrep!$A$3:$F$66,6,FALSE),0)</f>
        <v>0.1</v>
      </c>
      <c r="I60" s="72">
        <v>17</v>
      </c>
      <c r="J60" s="73" t="str">
        <f>IF($I60&gt;0,VLOOKUP($I60,[1]DrawPrep!$C$3:$F$66,2,FALSE),"bye")</f>
        <v>ΗΛΙΟΠΟΥΛΟΣ ΚΩΝΣΤΑΝΤΙΝΟΣ</v>
      </c>
      <c r="K60" s="74" t="str">
        <f t="shared" si="0"/>
        <v>ΗΛΙΟΠΟΥΛΟΣ</v>
      </c>
      <c r="L60" s="75">
        <f>IF($I60&gt;0,VLOOKUP($I60,[1]DrawPrep!$C$3:$F$66,3,FALSE),"")</f>
        <v>0</v>
      </c>
      <c r="M60" s="44"/>
      <c r="N60" s="67"/>
      <c r="O60" s="76"/>
      <c r="P60" s="34"/>
      <c r="S60" s="18"/>
      <c r="T60" s="77" t="str">
        <f>UPPER(IF($A$2="R",IF(OR(S60=1,S60="a"),R56,IF(OR(S60=2,S60="b"),R64,"")),IF(OR(S60=1,S60="a"),R56,IF(OR(S60=2,S60="b"),R64,""))))</f>
        <v/>
      </c>
    </row>
    <row r="61" spans="1:20" ht="13.15" customHeight="1" x14ac:dyDescent="0.2">
      <c r="A61" s="20">
        <v>57</v>
      </c>
      <c r="B61" s="70">
        <f>VALUE([1]Setup!E18)</f>
        <v>13</v>
      </c>
      <c r="C61" s="47"/>
      <c r="D61" s="38">
        <f t="shared" si="1"/>
        <v>1</v>
      </c>
      <c r="E61" s="47">
        <v>0</v>
      </c>
      <c r="F61" s="79">
        <f>IF(NOT($G61="-"),VLOOKUP($G61,[1]DrawPrep!$A$3:$F$66,2,FALSE),"")</f>
        <v>0</v>
      </c>
      <c r="G61" s="80">
        <v>8</v>
      </c>
      <c r="H61" s="81">
        <f>IF($G61&gt;0,VLOOKUP($G61,[1]DrawPrep!$A$3:$F$66,6,FALSE),0)</f>
        <v>0.75</v>
      </c>
      <c r="I61" s="81">
        <v>7</v>
      </c>
      <c r="J61" s="82" t="str">
        <f>IF($I61&gt;0,VLOOKUP($I61,[1]DrawPrep!$C$3:$F$66,2,FALSE),"bye")</f>
        <v>ΠΑΠΑΓΕΩΡΓΙΟΥ ΓΙΩΡΓΟΣ</v>
      </c>
      <c r="K61" s="83" t="str">
        <f t="shared" si="0"/>
        <v>ΠΑΠΑΓΕΩΡΓΙΟΥ</v>
      </c>
      <c r="L61" s="84">
        <f>IF($I61&gt;0,VLOOKUP($I61,[1]DrawPrep!$C$3:$F$66,3,FALSE),"")</f>
        <v>0</v>
      </c>
      <c r="M61" s="31"/>
      <c r="N61" s="32" t="str">
        <f>UPPER(IF($A$2="R",IF(OR(M61=1,M61="a"),I61,IF(OR(M61=2,M61="b"),I62,"")),IF(OR(M61=1,M61="a"),K61,IF(OR(M61=2,M61="b"),K62,""))))</f>
        <v/>
      </c>
      <c r="O61" s="59"/>
      <c r="P61" s="34"/>
      <c r="T61" s="79"/>
    </row>
    <row r="62" spans="1:20" ht="13.15" customHeight="1" x14ac:dyDescent="0.2">
      <c r="A62" s="36">
        <v>58</v>
      </c>
      <c r="B62" s="22">
        <f>43-D62+16</f>
        <v>58</v>
      </c>
      <c r="C62" s="69">
        <v>13</v>
      </c>
      <c r="D62" s="38">
        <f t="shared" si="1"/>
        <v>1</v>
      </c>
      <c r="E62" s="39">
        <f>IF($B$2&gt;=C62,1,0)</f>
        <v>0</v>
      </c>
      <c r="F62" s="40">
        <f>IF(NOT($G62="-"),VLOOKUP($G62,[1]DrawPrep!$A$3:$F$66,2,FALSE),"")</f>
        <v>0</v>
      </c>
      <c r="G62" s="40">
        <f>IF($B$2&gt;=C62,"-",VLOOKUP($B62,[1]Setup!$K$2:$L$65,2,FALSE))</f>
        <v>58</v>
      </c>
      <c r="H62" s="41">
        <f>IF(NOT($G62="-"),VLOOKUP($G62,[1]DrawPrep!$A$3:$F$66,6,FALSE),0)</f>
        <v>0</v>
      </c>
      <c r="I62" s="41">
        <f>IF([1]Setup!$B$24="#",0,IF(NOT($G62="-"),VLOOKUP($G62,[1]DrawPrep!$A$3:$F$66,3,FALSE),0))</f>
        <v>55</v>
      </c>
      <c r="J62" s="42" t="str">
        <f>IF($I62&gt;0,VLOOKUP($I62,[1]DrawPrep!$C$3:$F$66,2,FALSE),"bye")</f>
        <v>ΤΣΟΜΛΕΚΤΣΟΓΛΟΥ ΝΙΚΟΛΑΟΣ</v>
      </c>
      <c r="K62" s="32" t="str">
        <f t="shared" si="0"/>
        <v>ΤΣΟΜΛΕΚΤΣΟΓΛΟΥ</v>
      </c>
      <c r="L62" s="43">
        <f>IF($I62&gt;0,VLOOKUP($I62,[1]DrawPrep!$C$3:$F$66,3,FALSE),"")</f>
        <v>0</v>
      </c>
      <c r="M62" s="44"/>
      <c r="N62" s="45"/>
      <c r="O62" s="31"/>
      <c r="P62" s="32" t="str">
        <f>UPPER(IF($A$2="R",IF(OR(O62=1,O62="a"),N61,IF(OR(O62=2,O62="b"),N63,"")),IF(OR(O62=1,O62="a"),N61,IF(OR(O62=2,O62="b"),N63,""))))</f>
        <v/>
      </c>
      <c r="Q62" s="33"/>
    </row>
    <row r="63" spans="1:20" ht="13.15" customHeight="1" x14ac:dyDescent="0.2">
      <c r="A63" s="46">
        <v>59</v>
      </c>
      <c r="B63" s="22">
        <f>44-D63+16</f>
        <v>59</v>
      </c>
      <c r="C63" s="47"/>
      <c r="D63" s="38">
        <f t="shared" si="1"/>
        <v>1</v>
      </c>
      <c r="E63" s="47">
        <v>0</v>
      </c>
      <c r="F63" s="91">
        <f>IF(NOT($G63="-"),VLOOKUP($G63,[1]DrawPrep!$A$3:$F$66,2,FALSE),"")</f>
        <v>0</v>
      </c>
      <c r="G63" s="91">
        <f>VLOOKUP($B63,[1]Setup!$K$2:$L$65,2,FALSE)</f>
        <v>59</v>
      </c>
      <c r="H63" s="92">
        <f>IF($G63&gt;0,VLOOKUP($G63,[1]DrawPrep!$A$3:$F$66,6,FALSE),0)</f>
        <v>0</v>
      </c>
      <c r="I63" s="49">
        <f>IF([1]Setup!$B$24="#",0,IF($G63&gt;0,VLOOKUP($G63,[1]DrawPrep!$A$3:$F$66,3,FALSE),0))</f>
        <v>64</v>
      </c>
      <c r="J63" s="93" t="str">
        <f>IF($I63&gt;0,VLOOKUP($I63,[1]DrawPrep!$C$3:$F$66,2,FALSE),"bye")</f>
        <v>ΨΑΡΟΓΙΑΝΝΗΣ ΘΕΜΗΣ</v>
      </c>
      <c r="K63" s="94" t="str">
        <f t="shared" si="0"/>
        <v>ΨΑΡΟΓΙΑΝΝΗΣ</v>
      </c>
      <c r="L63" s="95">
        <f>IF($I63&gt;0,VLOOKUP($I63,[1]DrawPrep!$C$3:$F$66,3,FALSE),"")</f>
        <v>0</v>
      </c>
      <c r="M63" s="31"/>
      <c r="N63" s="32" t="str">
        <f>UPPER(IF($A$2="R",IF(OR(M63=1,M63="a"),I63,IF(OR(M63=2,M63="b"),I64,"")),IF(OR(M63=1,M63="a"),K63,IF(OR(M63=2,M63="b"),K64,""))))</f>
        <v/>
      </c>
      <c r="O63" s="44"/>
      <c r="P63" s="45"/>
      <c r="Q63" s="33"/>
    </row>
    <row r="64" spans="1:20" ht="13.15" customHeight="1" x14ac:dyDescent="0.2">
      <c r="A64" s="53">
        <v>60</v>
      </c>
      <c r="B64" s="22">
        <f>45-D64+16</f>
        <v>60</v>
      </c>
      <c r="C64" s="47">
        <v>18</v>
      </c>
      <c r="D64" s="38">
        <f t="shared" si="1"/>
        <v>1</v>
      </c>
      <c r="E64" s="39">
        <f>IF($B$2&gt;=C64,1,0)</f>
        <v>0</v>
      </c>
      <c r="F64" s="91">
        <f>IF(NOT($G64="-"),VLOOKUP($G64,[1]DrawPrep!$A$3:$F$66,2,FALSE),"")</f>
        <v>0</v>
      </c>
      <c r="G64" s="91">
        <f>IF($B$2&gt;=C64,"-",VLOOKUP($B64,[1]Setup!$K$2:$L$65,2,FALSE))</f>
        <v>38</v>
      </c>
      <c r="H64" s="92">
        <f>IF(NOT($G64="-"),VLOOKUP($G64,[1]DrawPrep!$A$3:$F$66,6,FALSE),0)</f>
        <v>0</v>
      </c>
      <c r="I64" s="92">
        <f>IF([1]Setup!$B$24="#",0,IF(NOT($G64="-"),VLOOKUP($G64,[1]DrawPrep!$A$3:$F$66,3,FALSE),0))</f>
        <v>26</v>
      </c>
      <c r="J64" s="93" t="str">
        <f>IF($I64&gt;0,VLOOKUP($I64,[1]DrawPrep!$C$3:$F$66,2,FALSE),"bye")</f>
        <v>ΚΑΖΑΝΤΖΗΣ ΜΙΧΑΛΗΣ-ΤΟΥΒ</v>
      </c>
      <c r="K64" s="94" t="str">
        <f t="shared" si="0"/>
        <v>ΚΑΖΑΝΤΖΗΣ</v>
      </c>
      <c r="L64" s="95">
        <f>IF($I64&gt;0,VLOOKUP($I64,[1]DrawPrep!$C$3:$F$66,3,FALSE),"")</f>
        <v>0</v>
      </c>
      <c r="M64" s="88"/>
      <c r="O64" s="59"/>
      <c r="P64" s="60"/>
      <c r="Q64" s="89"/>
      <c r="R64" s="32" t="str">
        <f>UPPER(IF($A$2="R",IF(OR(Q64=1,Q64="a"),P62,IF(OR(Q64=2,Q64="b"),P66,"")),IF(OR(Q64=1,Q64="a"),P62,IF(OR(Q64=2,Q64="b"),P66,""))))</f>
        <v/>
      </c>
    </row>
    <row r="65" spans="1:20" ht="13.15" customHeight="1" x14ac:dyDescent="0.2">
      <c r="A65" s="20">
        <v>61</v>
      </c>
      <c r="B65" s="22">
        <f>46-D65+16</f>
        <v>61</v>
      </c>
      <c r="C65" s="47"/>
      <c r="D65" s="38">
        <f t="shared" si="1"/>
        <v>1</v>
      </c>
      <c r="E65" s="47">
        <v>0</v>
      </c>
      <c r="F65" s="25">
        <f>IF(NOT($G65="-"),VLOOKUP($G65,[1]DrawPrep!$A$3:$F$66,2,FALSE),"")</f>
        <v>0</v>
      </c>
      <c r="G65" s="25">
        <f>VLOOKUP($B65,[1]Setup!$K$2:$L$65,2,FALSE)</f>
        <v>20</v>
      </c>
      <c r="H65" s="62">
        <f>IF($G65&gt;0,VLOOKUP($G65,[1]DrawPrep!$A$3:$F$66,6,FALSE),0)</f>
        <v>0</v>
      </c>
      <c r="I65" s="62">
        <v>49</v>
      </c>
      <c r="J65" s="63" t="str">
        <f>IF($I65&gt;0,VLOOKUP($I65,[1]DrawPrep!$C$3:$F$66,2,FALSE),"bye")</f>
        <v>ΣΚΑΛΙΔΑΚΗΣ ΔΗΜΗΤΡΗΣ</v>
      </c>
      <c r="K65" s="64" t="str">
        <f t="shared" si="0"/>
        <v>ΣΚΑΛΙΔΑΚΗΣ</v>
      </c>
      <c r="L65" s="65">
        <f>IF($I65&gt;0,VLOOKUP($I65,[1]DrawPrep!$C$3:$F$66,3,FALSE),"")</f>
        <v>0</v>
      </c>
      <c r="M65" s="66"/>
      <c r="N65" s="32" t="str">
        <f>UPPER(IF($A$2="R",IF(OR(M65=1,M65="a"),I65,IF(OR(M65=2,M65="b"),I66,"")),IF(OR(M65=1,M65="a"),K65,IF(OR(M65=2,M65="b"),K66,""))))</f>
        <v/>
      </c>
      <c r="O65" s="59"/>
      <c r="P65" s="60"/>
      <c r="Q65" s="33"/>
    </row>
    <row r="66" spans="1:20" ht="13.15" customHeight="1" x14ac:dyDescent="0.2">
      <c r="A66" s="36">
        <v>62</v>
      </c>
      <c r="B66" s="22">
        <f>47-D66+16</f>
        <v>62</v>
      </c>
      <c r="C66" s="47">
        <v>30</v>
      </c>
      <c r="D66" s="38">
        <f t="shared" si="1"/>
        <v>1</v>
      </c>
      <c r="E66" s="39">
        <f>IF($B$2&gt;=C66,1,0)</f>
        <v>0</v>
      </c>
      <c r="F66" s="40">
        <f>IF(NOT($G66="-"),VLOOKUP($G66,[1]DrawPrep!$A$3:$F$66,2,FALSE),"")</f>
        <v>0</v>
      </c>
      <c r="G66" s="40">
        <f>IF($B$2&gt;=C66,"-",VLOOKUP($B66,[1]Setup!$K$2:$L$65,2,FALSE))</f>
        <v>29</v>
      </c>
      <c r="H66" s="41">
        <f>IF(NOT($G66="-"),VLOOKUP($G66,[1]DrawPrep!$A$3:$F$66,6,FALSE),0)</f>
        <v>0</v>
      </c>
      <c r="I66" s="41">
        <f>IF([1]Setup!$B$24="#",0,IF(NOT($G66="-"),VLOOKUP($G66,[1]DrawPrep!$A$3:$F$66,3,FALSE),0))</f>
        <v>48</v>
      </c>
      <c r="J66" s="42" t="str">
        <f>IF($I66&gt;0,VLOOKUP($I66,[1]DrawPrep!$C$3:$F$66,2,FALSE),"bye")</f>
        <v>ΣΗΜΑΙΟΦΟΡΙΔΗΣ ΧΑΡΗΣ</v>
      </c>
      <c r="K66" s="32" t="str">
        <f t="shared" si="0"/>
        <v>ΣΗΜΑΙΟΦΟΡΙΔΗΣ</v>
      </c>
      <c r="L66" s="43">
        <f>IF($I66&gt;0,VLOOKUP($I66,[1]DrawPrep!$C$3:$F$66,3,FALSE),"")</f>
        <v>0</v>
      </c>
      <c r="M66" s="44"/>
      <c r="N66" s="45"/>
      <c r="O66" s="31"/>
      <c r="P66" s="32" t="str">
        <f>UPPER(IF($A$2="R",IF(OR(O66=1,O66="a"),N65,IF(OR(O66=2,O66="b"),N67,"")),IF(OR(O66=1,O66="a"),N65,IF(OR(O66=2,O66="b"),N67,""))))</f>
        <v/>
      </c>
      <c r="Q66" s="68"/>
    </row>
    <row r="67" spans="1:20" ht="13.15" customHeight="1" x14ac:dyDescent="0.2">
      <c r="A67" s="46">
        <v>63</v>
      </c>
      <c r="B67" s="22">
        <f>48-D67+16</f>
        <v>63</v>
      </c>
      <c r="C67" s="37">
        <f>B68</f>
        <v>2</v>
      </c>
      <c r="D67" s="38">
        <f t="shared" si="1"/>
        <v>1</v>
      </c>
      <c r="E67" s="39">
        <f>IF($B$2&gt;=C67,1,0)</f>
        <v>0</v>
      </c>
      <c r="F67" s="48">
        <f>IF(NOT($G67="-"),VLOOKUP($G67,[1]DrawPrep!$A$3:$F$66,2,FALSE),"")</f>
        <v>0</v>
      </c>
      <c r="G67" s="48">
        <f>IF($B$2&gt;=C67,"-",VLOOKUP($B67,[1]Setup!$K$2:$L$65,2,FALSE))</f>
        <v>24</v>
      </c>
      <c r="H67" s="49">
        <f>IF(NOT($G67="-"),VLOOKUP($G67,[1]DrawPrep!$A$3:$F$66,6,FALSE),0)</f>
        <v>0</v>
      </c>
      <c r="I67" s="49">
        <f>IF([1]Setup!$B$24="#",0,IF(NOT($G67="-"),VLOOKUP($G67,[1]DrawPrep!$A$3:$F$66,3,FALSE),0))</f>
        <v>45</v>
      </c>
      <c r="J67" s="50" t="str">
        <f>IF($I67&gt;0,VLOOKUP($I67,[1]DrawPrep!$C$3:$F$66,2,FALSE),"bye")</f>
        <v>ΠΕΡΔΙΚΟΓΙΑΝΝΗΣ ΣΤΕΛΙΟΣ</v>
      </c>
      <c r="K67" s="51" t="str">
        <f t="shared" si="0"/>
        <v>ΠΕΡΔΙΚΟΓΙΑΝΝΗΣ</v>
      </c>
      <c r="L67" s="52">
        <f>IF($I67&gt;0,VLOOKUP($I67,[1]DrawPrep!$C$3:$F$66,3,FALSE),"")</f>
        <v>0</v>
      </c>
      <c r="M67" s="31"/>
      <c r="N67" s="32" t="str">
        <f>UPPER(IF($A$2="R",IF(OR(M67=1,M67="a"),I67,IF(OR(M67=2,M67="b"),I68,"")),IF(OR(M67=1,M67="a"),K67,IF(OR(M67=2,M67="b"),K68,""))))</f>
        <v/>
      </c>
      <c r="O67" s="98"/>
      <c r="P67" s="67"/>
      <c r="Q67" s="33"/>
    </row>
    <row r="68" spans="1:20" ht="13.15" customHeight="1" x14ac:dyDescent="0.2">
      <c r="A68" s="53">
        <v>64</v>
      </c>
      <c r="B68" s="21">
        <v>2</v>
      </c>
      <c r="C68" s="47"/>
      <c r="D68" s="38"/>
      <c r="F68" s="54">
        <f>IF(NOT($G68="-"),VLOOKUP($G68,[1]DrawPrep!$A$3:$F$66,2,FALSE),"")</f>
        <v>0</v>
      </c>
      <c r="G68" s="71">
        <v>16</v>
      </c>
      <c r="H68" s="72">
        <f>IF($G68&gt;0,VLOOKUP($G68,[1]DrawPrep!$A$3:$F$66,6,FALSE),0)</f>
        <v>0.1</v>
      </c>
      <c r="I68" s="72">
        <v>15</v>
      </c>
      <c r="J68" s="73" t="str">
        <f>IF($I68&gt;0,VLOOKUP($I68,[1]DrawPrep!$C$3:$F$66,2,FALSE),"bye")</f>
        <v>ΒΛΑΒΙΑΝΟΣ ΙΑΣΩΝ</v>
      </c>
      <c r="K68" s="74" t="str">
        <f t="shared" si="0"/>
        <v>ΒΛΑΒΙΑΝΟΣ</v>
      </c>
      <c r="L68" s="75">
        <f>IF($I68&gt;0,VLOOKUP($I68,[1]DrawPrep!$C$3:$F$66,3,FALSE),"")</f>
        <v>0</v>
      </c>
      <c r="M68" s="98"/>
      <c r="P68" s="34"/>
    </row>
    <row r="69" spans="1:20" x14ac:dyDescent="0.2">
      <c r="N69" s="101" t="s">
        <v>10</v>
      </c>
      <c r="P69" s="101" t="s">
        <v>10</v>
      </c>
      <c r="R69" s="101" t="s">
        <v>10</v>
      </c>
      <c r="T69" s="101" t="s">
        <v>10</v>
      </c>
    </row>
    <row r="70" spans="1:20" x14ac:dyDescent="0.2">
      <c r="P70" s="305" t="s">
        <v>11</v>
      </c>
      <c r="Q70" s="305"/>
      <c r="R70" s="3"/>
    </row>
    <row r="71" spans="1:20" x14ac:dyDescent="0.2">
      <c r="P71" s="102" t="str">
        <f>"01. " &amp; IF([1]Setup!B19&gt;0,LEFT([1]DrawPrep!D3,FIND(" ",[1]DrawPrep!D3)+1),"")</f>
        <v>01. ΚΟΚΚΟΤΑΣ Ν</v>
      </c>
      <c r="R71" s="103" t="str">
        <f>"09. " &amp; IF([1]Setup!B19&gt;8,LEFT([1]DrawPrep!D11,FIND(" ",[1]DrawPrep!D11)+1),"")</f>
        <v>09. ΙΑΤΡΟΠΟΥΛΟΣ Δ</v>
      </c>
    </row>
    <row r="72" spans="1:20" x14ac:dyDescent="0.2">
      <c r="P72" s="102" t="str">
        <f>"02. " &amp; IF([1]Setup!B19&gt;1,LEFT([1]DrawPrep!D4,FIND(" ",[1]DrawPrep!D4)+1),"")</f>
        <v>02. ΓΛΕΖΟΣ Μ</v>
      </c>
      <c r="R72" s="103" t="str">
        <f>"10. " &amp; IF([1]Setup!B19&gt;9,LEFT([1]DrawPrep!D12,FIND(" ",[1]DrawPrep!D12)+1),"")</f>
        <v>10. ΖΕΡΔΙΛΑΣ Α</v>
      </c>
    </row>
    <row r="73" spans="1:20" x14ac:dyDescent="0.2">
      <c r="P73" s="102" t="str">
        <f>"03. " &amp; IF([1]Setup!B19&gt;2,LEFT([1]DrawPrep!D5,FIND(" ",[1]DrawPrep!D5)+1),"")</f>
        <v>03. ΚΩΣΤΑΡΑΣ Π</v>
      </c>
      <c r="R73" s="103" t="str">
        <f>"11. " &amp; IF([1]Setup!B19&gt;10,LEFT([1]DrawPrep!D13,FIND(" ",[1]DrawPrep!D13)+1),"")</f>
        <v>11. ΚΑΒΑΛΛΑΣ Θ</v>
      </c>
    </row>
    <row r="74" spans="1:20" x14ac:dyDescent="0.2">
      <c r="P74" s="102" t="str">
        <f>"04. " &amp; IF([1]Setup!B19&gt;3,LEFT([1]DrawPrep!D6,FIND(" ",[1]DrawPrep!D6)+1),"")</f>
        <v>04. ΖΑΝΝΙΑΣ Θ</v>
      </c>
      <c r="R74" s="103" t="str">
        <f>"12. " &amp; IF([1]Setup!B19&gt;11,LEFT([1]DrawPrep!D14,FIND(" ",[1]DrawPrep!D14)+1),"")</f>
        <v>12. ΚΑΛΛΙΤΣΗΣ Κ</v>
      </c>
    </row>
    <row r="75" spans="1:20" x14ac:dyDescent="0.2">
      <c r="P75" s="102" t="str">
        <f>"05. " &amp; IF([1]Setup!B19&gt;4,LEFT([1]DrawPrep!D7,FIND(" ",[1]DrawPrep!D7)+1),"")</f>
        <v>05. ΓΙΑΝΝΑΚΑΚΗΣ Η</v>
      </c>
      <c r="R75" s="103" t="str">
        <f>"13. " &amp; IF([1]Setup!B19&gt;12,LEFT([1]DrawPrep!D15,FIND(" ",[1]DrawPrep!D15)+1),"")</f>
        <v>13. ΚΑΠΙΡΗΣ Σ</v>
      </c>
    </row>
    <row r="76" spans="1:20" x14ac:dyDescent="0.2">
      <c r="P76" s="102" t="str">
        <f>"06. " &amp; IF([1]Setup!B19&gt;5,LEFT([1]DrawPrep!D8,FIND(" ",[1]DrawPrep!D8)+1),"")</f>
        <v>06. ΜΟΥΡΑΤΟΓΛΟΥ Α</v>
      </c>
      <c r="R76" s="103" t="str">
        <f>"14. " &amp; IF([1]Setup!B19&gt;13,LEFT([1]DrawPrep!D16,FIND(" ",[1]DrawPrep!D16)+1),"")</f>
        <v>14. ΒΕΝΕΤΗΣ Τ</v>
      </c>
    </row>
    <row r="77" spans="1:20" x14ac:dyDescent="0.2">
      <c r="P77" s="102" t="str">
        <f>"07. " &amp; IF([1]Setup!B19&gt;6,LEFT([1]DrawPrep!D9,FIND(" ",[1]DrawPrep!D9)+1),"")</f>
        <v>07. ΜΠΙΣΜΠΙΚΟΣ Ν</v>
      </c>
      <c r="R77" s="103" t="str">
        <f>"15. " &amp; IF([1]Setup!B19&gt;14,LEFT([1]DrawPrep!D17,FIND(" ",[1]DrawPrep!D17)+1),"")</f>
        <v>15. ΗΛΙΟΠΟΥΛΟΣ Κ</v>
      </c>
    </row>
    <row r="78" spans="1:20" x14ac:dyDescent="0.2">
      <c r="P78" s="102" t="str">
        <f>"08. " &amp; IF([1]Setup!B19&gt;7,LEFT([1]DrawPrep!D10,FIND(" ",[1]DrawPrep!D10)+1),"")</f>
        <v>08. ΠΑΠΑΓΕΩΡΓΙΟΥ Γ</v>
      </c>
      <c r="R78" s="103" t="str">
        <f>"16. " &amp; IF([1]Setup!B19&gt;15,LEFT([1]DrawPrep!D18,FIND(" ",[1]DrawPrep!D18)+1),"")</f>
        <v>16. ΒΛΑΒΙΑΝΟΣ Ι</v>
      </c>
    </row>
    <row r="80" spans="1:20" x14ac:dyDescent="0.2">
      <c r="P80" s="3" t="s">
        <v>12</v>
      </c>
    </row>
    <row r="81" spans="10:16" x14ac:dyDescent="0.2">
      <c r="P81" s="3" t="str">
        <f>[1]Setup!B10</f>
        <v>Ταμπόση Τα.</v>
      </c>
    </row>
    <row r="90" spans="10:16" hidden="1" x14ac:dyDescent="0.2">
      <c r="J90" s="104" t="s">
        <v>13</v>
      </c>
    </row>
    <row r="91" spans="10:16" hidden="1" x14ac:dyDescent="0.2">
      <c r="J91" s="105" t="str">
        <f>IF([1]Setup!$B$19&gt;0,LEFT([1]DrawPrep!D3,FIND(" ",[1]DrawPrep!D3)-1))</f>
        <v>ΚΟΚΚΟΤΑΣ</v>
      </c>
    </row>
    <row r="92" spans="10:16" hidden="1" x14ac:dyDescent="0.2">
      <c r="J92" s="105" t="str">
        <f>IF([1]Setup!$B$19&gt;1,LEFT([1]DrawPrep!D4,FIND(" ",[1]DrawPrep!D4)-1))</f>
        <v>ΓΛΕΖΟΣ</v>
      </c>
    </row>
    <row r="93" spans="10:16" hidden="1" x14ac:dyDescent="0.2">
      <c r="J93" s="105" t="str">
        <f>IF([1]Setup!$B$19&gt;2,LEFT([1]DrawPrep!D5,FIND(" ",[1]DrawPrep!D5)-1))</f>
        <v>ΚΩΣΤΑΡΑΣ</v>
      </c>
    </row>
    <row r="94" spans="10:16" hidden="1" x14ac:dyDescent="0.2">
      <c r="J94" s="105" t="str">
        <f>IF([1]Setup!$B$19&gt;3,LEFT([1]DrawPrep!D6,FIND(" ",[1]DrawPrep!D6)-1))</f>
        <v>ΖΑΝΝΙΑΣ</v>
      </c>
    </row>
    <row r="95" spans="10:16" hidden="1" x14ac:dyDescent="0.2">
      <c r="J95" s="105" t="str">
        <f>IF([1]Setup!$B$19&gt;4,LEFT([1]DrawPrep!D7,FIND(" ",[1]DrawPrep!D7)-1))</f>
        <v>ΓΙΑΝΝΑΚΑΚΗΣ</v>
      </c>
    </row>
    <row r="96" spans="10:16" hidden="1" x14ac:dyDescent="0.2">
      <c r="J96" s="105" t="str">
        <f>IF([1]Setup!$B$19&gt;5,LEFT([1]DrawPrep!D8,FIND(" ",[1]DrawPrep!D8)-1))</f>
        <v>ΜΟΥΡΑΤΟΓΛΟΥ</v>
      </c>
    </row>
    <row r="97" spans="10:10" hidden="1" x14ac:dyDescent="0.2">
      <c r="J97" s="105" t="str">
        <f>IF([1]Setup!$B$19&gt;6,LEFT([1]DrawPrep!D9,FIND(" ",[1]DrawPrep!D9)-1))</f>
        <v>ΜΠΙΣΜΠΙΚΟΣ</v>
      </c>
    </row>
    <row r="98" spans="10:10" hidden="1" x14ac:dyDescent="0.2">
      <c r="J98" s="105" t="str">
        <f>IF([1]Setup!$B$19&gt;7,LEFT([1]DrawPrep!D10,FIND(" ",[1]DrawPrep!D10)-1))</f>
        <v>ΠΑΠΑΓΕΩΡΓΙΟΥ</v>
      </c>
    </row>
    <row r="99" spans="10:10" hidden="1" x14ac:dyDescent="0.2">
      <c r="J99" s="105" t="str">
        <f>IF([1]Setup!$B$19&gt;8,LEFT([1]DrawPrep!D11,FIND(" ",[1]DrawPrep!D11)-1))</f>
        <v>ΙΑΤΡΟΠΟΥΛΟΣ</v>
      </c>
    </row>
    <row r="100" spans="10:10" hidden="1" x14ac:dyDescent="0.2">
      <c r="J100" s="105" t="str">
        <f>IF([1]Setup!$B$19&gt;9,LEFT([1]DrawPrep!D12,FIND(" ",[1]DrawPrep!D12)-1))</f>
        <v>ΖΕΡΔΙΛΑΣ</v>
      </c>
    </row>
    <row r="101" spans="10:10" hidden="1" x14ac:dyDescent="0.2">
      <c r="J101" s="105" t="str">
        <f>IF([1]Setup!$B$19&gt;10,LEFT([1]DrawPrep!D13,FIND(" ",[1]DrawPrep!D13)-1))</f>
        <v>ΚΑΒΑΛΛΑΣ</v>
      </c>
    </row>
    <row r="102" spans="10:10" hidden="1" x14ac:dyDescent="0.2">
      <c r="J102" s="105" t="str">
        <f>IF([1]Setup!$B$19&gt;11,LEFT([1]DrawPrep!D14,FIND(" ",[1]DrawPrep!D14)-1))</f>
        <v>ΚΑΛΛΙΤΣΗΣ</v>
      </c>
    </row>
    <row r="103" spans="10:10" hidden="1" x14ac:dyDescent="0.2">
      <c r="J103" s="105" t="str">
        <f>IF([1]Setup!$B$19&gt;12,LEFT([1]DrawPrep!D15,FIND(" ",[1]DrawPrep!D15)-1))</f>
        <v>ΚΑΠΙΡΗΣ</v>
      </c>
    </row>
    <row r="104" spans="10:10" hidden="1" x14ac:dyDescent="0.2">
      <c r="J104" s="105" t="str">
        <f>IF([1]Setup!$B$19&gt;13,LEFT([1]DrawPrep!D16,FIND(" ",[1]DrawPrep!D16)-1))</f>
        <v>ΒΕΝΕΤΗΣ</v>
      </c>
    </row>
    <row r="105" spans="10:10" hidden="1" x14ac:dyDescent="0.2">
      <c r="J105" s="105" t="str">
        <f>IF([1]Setup!$B$19&gt;14,LEFT([1]DrawPrep!D17,FIND(" ",[1]DrawPrep!D17)-1))</f>
        <v>ΗΛΙΟΠΟΥΛΟΣ</v>
      </c>
    </row>
    <row r="106" spans="10:10" hidden="1" x14ac:dyDescent="0.2">
      <c r="J106" s="105" t="str">
        <f>IF([1]Setup!$B$19&gt;15,LEFT([1]DrawPrep!D18,FIND(" ",[1]DrawPrep!D18)-1))</f>
        <v>ΒΛΑΒΙΑΝΟΣ</v>
      </c>
    </row>
    <row r="107" spans="10:10" ht="11.25" x14ac:dyDescent="0.2">
      <c r="J107" s="106"/>
    </row>
    <row r="108" spans="10:10" ht="11.25" x14ac:dyDescent="0.2">
      <c r="J108" s="106"/>
    </row>
    <row r="109" spans="10:10" ht="11.25" x14ac:dyDescent="0.2">
      <c r="J109" s="106"/>
    </row>
    <row r="110" spans="10:10" ht="11.25" x14ac:dyDescent="0.2">
      <c r="J110" s="106"/>
    </row>
    <row r="111" spans="10:10" ht="11.25" x14ac:dyDescent="0.2">
      <c r="J111" s="106"/>
    </row>
    <row r="112" spans="10:10" ht="11.25" x14ac:dyDescent="0.2">
      <c r="J112" s="106"/>
    </row>
    <row r="113" spans="10:10" ht="11.25" x14ac:dyDescent="0.2">
      <c r="J113" s="106"/>
    </row>
    <row r="114" spans="10:10" ht="11.25" x14ac:dyDescent="0.2">
      <c r="J114" s="106"/>
    </row>
    <row r="115" spans="10:10" ht="11.25" x14ac:dyDescent="0.2">
      <c r="J115" s="106"/>
    </row>
  </sheetData>
  <sheetProtection algorithmName="SHA-512" hashValue="oXCqlyGYJGPCDRSnERjyRZhKpwDIyonBEEiWKmbPiTMDvbGomP7QWVonLc7BGfHJOZxc8/HZqhebIYIuoGZkGQ==" saltValue="TDPjEFMS1cGP2NVQQGcjxw==" spinCount="100000" sheet="1" objects="1" scenarios="1" formatColumns="0" formatRows="0"/>
  <protectedRanges>
    <protectedRange sqref="R9 R17 R25 R33 R41 R49 R57 R65 T13 T21 T29 T37 T45 T53 T61" name="scoresR3"/>
    <protectedRange sqref="P7 P11 P15 P19 P23 P27 P31 P35 P39 P43 P47 P51 P55 P59 P63 P67" name="scoresR2"/>
    <protectedRange sqref="N6 N8 N10 N12 N14 N16 N18 N20 N22 N24 N26 N28 N30 N32 N34 N36 N38 N40 N42 N44 N46 N48 N50 N52 N54 N56 N58 N60 N62 N64 N66 N68" name="scoresR1"/>
    <protectedRange sqref="A2 R64" name="winnersR3"/>
    <protectedRange sqref="G5:G68" name="seeds"/>
    <protectedRange sqref="M5 M7 M9 M11 M13 M15 M17 M19 M21 M23 M25 M27 M29 M31 M33 M35 M37 M39 M41 M43 M45 M47 M49 M51 M53 M55 M57 M59 M61 M63 M65 M67" name="winnersR1"/>
    <protectedRange sqref="O6 O10 O14 O18 O22 O26 O30 O34 O38 O42 O46 O50 O54 O58 O62 O66" name="WinnersR2_1"/>
    <protectedRange sqref="Q8 Q16 Q24 Q32 Q40 Q48 Q56 Q64" name="winnersR3_1"/>
    <protectedRange sqref="S12 S20 S28 S36 S44 S52 S60" name="winnersR3_2"/>
  </protectedRanges>
  <mergeCells count="3">
    <mergeCell ref="A1:R1"/>
    <mergeCell ref="J3:L3"/>
    <mergeCell ref="P70:Q70"/>
  </mergeCells>
  <conditionalFormatting sqref="N5 N7 N9 N11 N13 N15 N17 N19 N21 N23 N25 N27 N29 N31 N33 N35 N37 N39 N41 N43 N45 N47 N49 N51 N53 N55 N57 N59 N61 N63 N65 N67 P6 P10 P14 P18 P22 P26 P30 P34 P38 P42 P46 P50 P54 P58 P62 P66 R8 R16 R24 R32 R40 R48 R56 R64 T12 T20 T28 T36 T44 T52 T60 R36:R37">
    <cfRule type="expression" dxfId="71" priority="1">
      <formula>MATCH(N5,$J$91:$J$106,0)</formula>
    </cfRule>
  </conditionalFormatting>
  <printOptions horizontalCentered="1"/>
  <pageMargins left="0.39370078740157483" right="0.39370078740157483" top="0.39370078740157483" bottom="0.39370078740157483" header="0.51181102362204722" footer="0.51181102362204722"/>
  <pageSetup paperSize="9" scale="75" orientation="portrait" r:id="rId1"/>
  <headerFooter alignWithMargins="0">
    <oddFooter>&amp;R&amp;D&amp;T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1]!Sheet2pdf">
                <anchor moveWithCells="1" sizeWithCells="1">
                  <from>
                    <xdr:col>20</xdr:col>
                    <xdr:colOff>266700</xdr:colOff>
                    <xdr:row>4</xdr:row>
                    <xdr:rowOff>0</xdr:rowOff>
                  </from>
                  <to>
                    <xdr:col>22</xdr:col>
                    <xdr:colOff>228600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S48"/>
  <sheetViews>
    <sheetView showGridLines="0" showZeros="0" zoomScale="115" zoomScaleNormal="115" workbookViewId="0">
      <pane ySplit="1" topLeftCell="A2" activePane="bottomLeft" state="frozen"/>
      <selection pane="bottomLeft" activeCell="J26" sqref="J26"/>
    </sheetView>
  </sheetViews>
  <sheetFormatPr defaultColWidth="5.140625" defaultRowHeight="11.25" x14ac:dyDescent="0.2"/>
  <cols>
    <col min="1" max="1" width="2.42578125" style="114" bestFit="1" customWidth="1"/>
    <col min="2" max="2" width="2.42578125" style="114" hidden="1" customWidth="1"/>
    <col min="3" max="3" width="6" style="117" hidden="1" customWidth="1"/>
    <col min="4" max="4" width="5.28515625" style="118" hidden="1" customWidth="1"/>
    <col min="5" max="5" width="4.7109375" style="118" hidden="1" customWidth="1"/>
    <col min="6" max="6" width="3" style="114" hidden="1" customWidth="1"/>
    <col min="7" max="7" width="3.42578125" style="117" bestFit="1" customWidth="1"/>
    <col min="8" max="8" width="3.28515625" style="117" bestFit="1" customWidth="1"/>
    <col min="9" max="9" width="4.7109375" style="119" bestFit="1" customWidth="1"/>
    <col min="10" max="10" width="33.140625" style="114" customWidth="1"/>
    <col min="11" max="11" width="20.5703125" style="114" hidden="1" customWidth="1"/>
    <col min="12" max="12" width="7" style="114" customWidth="1"/>
    <col min="13" max="13" width="1.42578125" style="195" bestFit="1" customWidth="1"/>
    <col min="14" max="14" width="14.140625" style="114" bestFit="1" customWidth="1"/>
    <col min="15" max="15" width="1.42578125" style="147" bestFit="1" customWidth="1"/>
    <col min="16" max="16" width="14.140625" style="114" bestFit="1" customWidth="1"/>
    <col min="17" max="17" width="1.42578125" style="147" bestFit="1" customWidth="1"/>
    <col min="18" max="18" width="14.140625" style="198" bestFit="1" customWidth="1"/>
    <col min="19" max="19" width="0.85546875" style="145" customWidth="1"/>
    <col min="20" max="16384" width="5.140625" style="114"/>
  </cols>
  <sheetData>
    <row r="1" spans="1:19" s="110" customFormat="1" ht="16.5" x14ac:dyDescent="0.2">
      <c r="A1" s="306" t="str">
        <f>[2]Setup!B3 &amp; ", " &amp; [2]Setup!B4 &amp; ", " &amp; [2]Setup!B6 &amp; ", " &amp; [2]Setup!B8 &amp; "-" &amp; [2]Setup!B9</f>
        <v>Η Ένωση, ΟΡΕΝ MASTERS, ΟΑ ΑΘΗΝΩΝ, 14-22 Νοε</v>
      </c>
      <c r="B1" s="306"/>
      <c r="C1" s="306"/>
      <c r="D1" s="306"/>
      <c r="E1" s="306"/>
      <c r="F1" s="306"/>
      <c r="G1" s="306"/>
      <c r="H1" s="306"/>
      <c r="I1" s="306"/>
      <c r="J1" s="306"/>
      <c r="K1" s="306"/>
      <c r="L1" s="306"/>
      <c r="M1" s="306"/>
      <c r="N1" s="306"/>
      <c r="O1" s="306"/>
      <c r="P1" s="306"/>
      <c r="Q1" s="107"/>
      <c r="R1" s="108" t="str">
        <f>[2]Setup!B7</f>
        <v>m md</v>
      </c>
      <c r="S1" s="109"/>
    </row>
    <row r="2" spans="1:19" x14ac:dyDescent="0.2">
      <c r="A2" s="111"/>
      <c r="B2" s="112">
        <f>[2]Setup!$B$18</f>
        <v>0</v>
      </c>
      <c r="C2" s="112"/>
      <c r="D2" s="113"/>
      <c r="E2" s="113"/>
      <c r="G2" s="115"/>
      <c r="H2" s="115"/>
      <c r="I2" s="115" t="s">
        <v>14</v>
      </c>
      <c r="J2" s="115"/>
      <c r="K2" s="115"/>
      <c r="L2" s="115"/>
      <c r="M2" s="115"/>
      <c r="N2" s="115" t="s">
        <v>15</v>
      </c>
      <c r="O2" s="115"/>
      <c r="P2" s="115" t="s">
        <v>16</v>
      </c>
      <c r="Q2" s="115"/>
      <c r="R2" s="115" t="s">
        <v>17</v>
      </c>
      <c r="S2" s="116"/>
    </row>
    <row r="3" spans="1:19" x14ac:dyDescent="0.2">
      <c r="J3" s="307">
        <v>16</v>
      </c>
      <c r="K3" s="307"/>
      <c r="L3" s="307"/>
      <c r="M3" s="120"/>
      <c r="N3" s="121">
        <v>8</v>
      </c>
      <c r="O3" s="122"/>
      <c r="P3" s="121">
        <v>4</v>
      </c>
      <c r="Q3" s="122"/>
      <c r="R3" s="123">
        <v>2</v>
      </c>
      <c r="S3" s="124"/>
    </row>
    <row r="4" spans="1:19" s="117" customFormat="1" x14ac:dyDescent="0.2">
      <c r="A4" s="125" t="s">
        <v>0</v>
      </c>
      <c r="B4" s="126"/>
      <c r="C4" s="127" t="s">
        <v>1</v>
      </c>
      <c r="D4" s="127" t="s">
        <v>2</v>
      </c>
      <c r="E4" s="127" t="s">
        <v>3</v>
      </c>
      <c r="F4" s="125" t="s">
        <v>4</v>
      </c>
      <c r="G4" s="125" t="s">
        <v>5</v>
      </c>
      <c r="H4" s="125" t="s">
        <v>6</v>
      </c>
      <c r="I4" s="125" t="s">
        <v>7</v>
      </c>
      <c r="J4" s="128" t="s">
        <v>8</v>
      </c>
      <c r="K4" s="127" t="s">
        <v>9</v>
      </c>
      <c r="L4" s="128"/>
      <c r="M4" s="129"/>
      <c r="O4" s="130"/>
      <c r="Q4" s="130"/>
      <c r="R4" s="131"/>
      <c r="S4" s="112"/>
    </row>
    <row r="5" spans="1:19" ht="12" customHeight="1" x14ac:dyDescent="0.2">
      <c r="A5" s="132">
        <v>1</v>
      </c>
      <c r="B5" s="133">
        <v>1</v>
      </c>
      <c r="C5" s="134"/>
      <c r="D5" s="135"/>
      <c r="E5" s="136">
        <v>0</v>
      </c>
      <c r="F5" s="137">
        <f>IF(NOT($G5="-"),VLOOKUP($G5,[2]DrawPrep!$A$3:$G$18,2,FALSE),"")</f>
        <v>0</v>
      </c>
      <c r="G5" s="138">
        <f>VLOOKUP($B5,[2]Setup!$G$12:$H$27,2,FALSE)</f>
        <v>1</v>
      </c>
      <c r="H5" s="139">
        <f>IF($G5&gt;0,VLOOKUP($G5,[2]DrawPrep!$A$3:$G$18,6,FALSE),0)</f>
        <v>18</v>
      </c>
      <c r="I5" s="140">
        <f>IF([2]Setup!$B$24="#",0,IF($G5&gt;0,VLOOKUP($G5,[2]DrawPrep!$A$3:$G$18,3,FALSE),0))</f>
        <v>1</v>
      </c>
      <c r="J5" s="141" t="str">
        <f>IF($I5&gt;0,VLOOKUP($I5,[2]DrawPrep!$C$3:$G$18,2,FALSE),"bye")</f>
        <v>ΓΕΜΟΥΧΙΔΗΣ ΠΑΡΙΣ</v>
      </c>
      <c r="K5" s="141" t="str">
        <f>IF(NOT(I5&gt;0),"", IF(ISERROR(FIND("-",J5)), LEFT(J5,FIND(" ",J5)-1), IF(FIND("-",J5)&gt;FIND(" ",J5),LEFT(J5,FIND(" ",J5)-1), LEFT(J5,FIND("-",J5)-1) )))</f>
        <v>ΓΕΜΟΥΧΙΔΗΣ</v>
      </c>
      <c r="L5" s="142">
        <f>IF($I5&gt;0,VLOOKUP($I5,[2]DrawPrep!$C$3:$G$18,3,FALSE),"")</f>
        <v>0</v>
      </c>
      <c r="M5" s="143"/>
      <c r="N5" s="144" t="str">
        <f>UPPER(IF($A$2="R",IF(OR(M5=1,M5="a"),I5,IF(OR(M5=2,M5="b"),I6,"")),IF(OR(M5=1,M5="1"),K5,IF(OR(M5=2,M5="b"),K6,""))))</f>
        <v/>
      </c>
      <c r="O5" s="145"/>
      <c r="P5" s="146"/>
      <c r="R5" s="146"/>
    </row>
    <row r="6" spans="1:19" ht="12" customHeight="1" x14ac:dyDescent="0.2">
      <c r="A6" s="148">
        <v>2</v>
      </c>
      <c r="B6" s="149">
        <f>1-D6+4</f>
        <v>5</v>
      </c>
      <c r="C6" s="150">
        <v>1</v>
      </c>
      <c r="D6" s="151">
        <f>E6</f>
        <v>0</v>
      </c>
      <c r="E6" s="152">
        <f>IF($B$2&gt;=C6,1,0)</f>
        <v>0</v>
      </c>
      <c r="F6" s="153">
        <f>IF(NOT($G6="-"),VLOOKUP($G6,[2]DrawPrep!$A$3:$G$18,2,FALSE),"")</f>
        <v>0</v>
      </c>
      <c r="G6" s="153">
        <f>IF($B$2&gt;=C6,"-",VLOOKUP($B6,[2]Setup!$G$12:$H$27,2,FALSE))</f>
        <v>11</v>
      </c>
      <c r="H6" s="154">
        <f>IF(NOT($G6="-"),VLOOKUP($G6,[2]DrawPrep!$A$3:$G$18,6,FALSE),0)</f>
        <v>0</v>
      </c>
      <c r="I6" s="154">
        <f>IF([2]Setup!$B$24="#",0,IF(NOT($G6="-"),VLOOKUP($G6,[2]DrawPrep!$A$3:$G$18,3,FALSE),0))</f>
        <v>11</v>
      </c>
      <c r="J6" s="155" t="str">
        <f>IF($I6&gt;0,VLOOKUP($I6,[2]DrawPrep!$C$3:$G$18,2,FALSE),"bye")</f>
        <v>Q</v>
      </c>
      <c r="K6" s="155" t="e">
        <f t="shared" ref="K6:K20" si="0">IF(NOT(I6&gt;0),"", IF(ISERROR(FIND("-",J6)), LEFT(J6,FIND(" ",J6)-1), IF(FIND("-",J6)&gt;FIND(" ",J6),LEFT(J6,FIND(" ",J6)-1), LEFT(J6,FIND("-",J6)-1) )))</f>
        <v>#VALUE!</v>
      </c>
      <c r="L6" s="156">
        <f>IF($I6&gt;0,VLOOKUP($I6,[2]DrawPrep!$C$3:$G$18,3,FALSE),"")</f>
        <v>0</v>
      </c>
      <c r="M6" s="157"/>
      <c r="N6" s="158"/>
      <c r="O6" s="143"/>
      <c r="P6" s="144" t="str">
        <f>UPPER(IF($A$2="R",IF(OR(O6=1,O6="a"),N5,IF(OR(O6=2,O6="b"),N7,"")),IF(OR(O6=1,O6="a"),N5,IF(OR(O6=2,O6="b"),N7,""))))</f>
        <v/>
      </c>
      <c r="Q6" s="145"/>
      <c r="R6" s="146"/>
    </row>
    <row r="7" spans="1:19" ht="12" customHeight="1" x14ac:dyDescent="0.2">
      <c r="A7" s="159">
        <v>3</v>
      </c>
      <c r="B7" s="149">
        <f>2-D7+4</f>
        <v>6</v>
      </c>
      <c r="C7" s="160"/>
      <c r="D7" s="151">
        <f t="shared" ref="D7:D20" si="1">D6+E7</f>
        <v>0</v>
      </c>
      <c r="E7" s="161">
        <v>0</v>
      </c>
      <c r="F7" s="162">
        <f>IF(NOT($G7="-"),VLOOKUP($G7,[2]DrawPrep!$A$3:$G$18,2,FALSE),"")</f>
        <v>0</v>
      </c>
      <c r="G7" s="162">
        <f>VLOOKUP($B7,[2]Setup!$G$12:$H$27,2,FALSE)</f>
        <v>5</v>
      </c>
      <c r="H7" s="163">
        <f>IF($G7&gt;0,VLOOKUP($G7,[2]DrawPrep!$A$3:$G$18,6,FALSE),0)</f>
        <v>1.5</v>
      </c>
      <c r="I7" s="163">
        <f>IF([2]Setup!$B$24="#",0,IF($G7&gt;0,VLOOKUP($G7,[2]DrawPrep!$A$3:$G$18,3,FALSE),0))</f>
        <v>5</v>
      </c>
      <c r="J7" s="164" t="str">
        <f>IF($I7&gt;0,VLOOKUP($I7,[2]DrawPrep!$C$3:$G$18,2,FALSE),"bye")</f>
        <v>ΔΕΛΗΣ ΑΝΔΡΕΑΣ-ΑΛΕΞΑΝΔΡΟΣ</v>
      </c>
      <c r="K7" s="164" t="str">
        <f t="shared" si="0"/>
        <v>ΔΕΛΗΣ</v>
      </c>
      <c r="L7" s="165">
        <f>IF($I7&gt;0,VLOOKUP($I7,[2]DrawPrep!$C$3:$G$18,3,FALSE),"")</f>
        <v>0</v>
      </c>
      <c r="M7" s="143"/>
      <c r="N7" s="144" t="str">
        <f>UPPER(IF($A$2="R",IF(OR(M7=1,M7="a"),I7,IF(OR(M7=2,M7="b"),I8,"")),IF(OR(M7=1,M7="a"),K7,IF(OR(M7=2,M7="b"),K8,""))))</f>
        <v/>
      </c>
      <c r="O7" s="157"/>
      <c r="P7" s="158"/>
      <c r="Q7" s="145"/>
      <c r="R7" s="146"/>
    </row>
    <row r="8" spans="1:19" ht="12" customHeight="1" x14ac:dyDescent="0.2">
      <c r="A8" s="166">
        <v>4</v>
      </c>
      <c r="B8" s="149">
        <f>3-D8+4</f>
        <v>7</v>
      </c>
      <c r="C8" s="150">
        <v>7</v>
      </c>
      <c r="D8" s="151">
        <f t="shared" si="1"/>
        <v>0</v>
      </c>
      <c r="E8" s="152">
        <f>IF($B$2&gt;=C8,1,0)</f>
        <v>0</v>
      </c>
      <c r="F8" s="167">
        <f>IF(NOT($G8="-"),VLOOKUP($G8,[2]DrawPrep!$A$3:$G$18,2,FALSE),"")</f>
        <v>0</v>
      </c>
      <c r="G8" s="167">
        <f>IF($B$2&gt;=C8,"-",VLOOKUP($B8,[2]Setup!$G$12:$H$27,2,FALSE))</f>
        <v>15</v>
      </c>
      <c r="H8" s="168">
        <f>IF(NOT($G8="-"),VLOOKUP($G8,[2]DrawPrep!$A$3:$G$18,6,FALSE),0)</f>
        <v>0</v>
      </c>
      <c r="I8" s="168">
        <f>IF([2]Setup!$B$24="#",0,IF(NOT($G8="-"),VLOOKUP($G8,[2]DrawPrep!$A$3:$G$18,3,FALSE),0))</f>
        <v>14</v>
      </c>
      <c r="J8" s="169" t="str">
        <f>IF($I8&gt;0,VLOOKUP($I8,[2]DrawPrep!$C$3:$G$18,2,FALSE),"bye")</f>
        <v>Q</v>
      </c>
      <c r="K8" s="169" t="e">
        <f t="shared" si="0"/>
        <v>#VALUE!</v>
      </c>
      <c r="L8" s="170">
        <f>IF($I8&gt;0,VLOOKUP($I8,[2]DrawPrep!$C$3:$G$18,3,FALSE),"")</f>
        <v>0</v>
      </c>
      <c r="M8" s="157"/>
      <c r="N8" s="118"/>
      <c r="O8" s="145"/>
      <c r="P8" s="171"/>
      <c r="Q8" s="172"/>
      <c r="R8" s="154" t="str">
        <f>UPPER(IF($A$2="R",IF(OR(Q8=1,Q8="a"),P6,IF(OR(Q8=2,Q8="b"),P10,"")),IF(OR(Q8=1,Q8="a"),P6,IF(OR(Q8=2,Q8="b"),P10,""))))</f>
        <v/>
      </c>
    </row>
    <row r="9" spans="1:19" ht="12" customHeight="1" x14ac:dyDescent="0.2">
      <c r="A9" s="132">
        <v>5</v>
      </c>
      <c r="B9" s="133">
        <f>VALUE([2]Setup!E2)</f>
        <v>4</v>
      </c>
      <c r="C9" s="160"/>
      <c r="D9" s="151">
        <f t="shared" si="1"/>
        <v>0</v>
      </c>
      <c r="E9" s="161">
        <v>0</v>
      </c>
      <c r="F9" s="137">
        <f>IF(NOT($G9="-"),VLOOKUP($G9,[2]DrawPrep!$A$3:$G$18,2,FALSE),"")</f>
        <v>0</v>
      </c>
      <c r="G9" s="138">
        <f>VLOOKUP($B9,[2]Setup!$G$12:$H$27,2,FALSE)</f>
        <v>4</v>
      </c>
      <c r="H9" s="139">
        <f>IF($G9&gt;0,VLOOKUP($G9,[2]DrawPrep!$A$3:$G$18,6,FALSE),0)</f>
        <v>3</v>
      </c>
      <c r="I9" s="140">
        <f>IF([2]Setup!$B$24="#",0,IF($G9&gt;0,VLOOKUP($G9,[2]DrawPrep!$A$3:$G$18,3,FALSE),0))</f>
        <v>4</v>
      </c>
      <c r="J9" s="141" t="str">
        <f>IF($I9&gt;0,VLOOKUP($I9,[2]DrawPrep!$C$3:$G$18,2,FALSE),"bye")</f>
        <v>ΗΛΙΟΠΟΥΛΟΣ ΒΑΣΙΛΗΣ</v>
      </c>
      <c r="K9" s="141" t="str">
        <f t="shared" si="0"/>
        <v>ΗΛΙΟΠΟΥΛΟΣ</v>
      </c>
      <c r="L9" s="142">
        <f>IF($I9&gt;0,VLOOKUP($I9,[2]DrawPrep!$C$3:$G$18,3,FALSE),"")</f>
        <v>0</v>
      </c>
      <c r="M9" s="173"/>
      <c r="N9" s="144" t="str">
        <f>UPPER(IF($A$2="R",IF(OR(M9=1,M9="a"),I9,IF(OR(M9=2,M9="b"),I10,"")),IF(OR(M9=1,M9="a"),K9,IF(OR(M9=2,M9="b"),K10,""))))</f>
        <v/>
      </c>
      <c r="O9" s="145"/>
      <c r="P9" s="171"/>
      <c r="Q9" s="145"/>
      <c r="R9" s="174"/>
    </row>
    <row r="10" spans="1:19" ht="12" customHeight="1" x14ac:dyDescent="0.2">
      <c r="A10" s="148">
        <v>6</v>
      </c>
      <c r="B10" s="149">
        <f>4-D10+4</f>
        <v>8</v>
      </c>
      <c r="C10" s="175">
        <f>IF([2]Setup!E2=3,3,4)</f>
        <v>4</v>
      </c>
      <c r="D10" s="151">
        <f t="shared" si="1"/>
        <v>0</v>
      </c>
      <c r="E10" s="152">
        <f>IF($B$2&gt;=C10,1,0)</f>
        <v>0</v>
      </c>
      <c r="F10" s="153">
        <f>IF(NOT($G10="-"),VLOOKUP($G10,[2]DrawPrep!$A$3:$G$18,2,FALSE),"")</f>
        <v>0</v>
      </c>
      <c r="G10" s="153">
        <f>IF($B$2&gt;=C10,"-",VLOOKUP($B10,[2]Setup!$G$12:$H$27,2,FALSE))</f>
        <v>12</v>
      </c>
      <c r="H10" s="154">
        <f>IF(NOT($G10="-"),VLOOKUP($G10,[2]DrawPrep!$A$3:$G$18,6,FALSE),0)</f>
        <v>0</v>
      </c>
      <c r="I10" s="154">
        <f>IF([2]Setup!$B$24="#",0,IF(NOT($G10="-"),VLOOKUP($G10,[2]DrawPrep!$A$3:$G$18,3,FALSE),0))</f>
        <v>10</v>
      </c>
      <c r="J10" s="155" t="str">
        <f>IF($I10&gt;0,VLOOKUP($I10,[2]DrawPrep!$C$3:$G$18,2,FALSE),"bye")</f>
        <v>Q</v>
      </c>
      <c r="K10" s="155" t="e">
        <f t="shared" si="0"/>
        <v>#VALUE!</v>
      </c>
      <c r="L10" s="156">
        <f>IF($I10&gt;0,VLOOKUP($I10,[2]DrawPrep!$C$3:$G$18,3,FALSE),"")</f>
        <v>0</v>
      </c>
      <c r="M10" s="157"/>
      <c r="N10" s="158"/>
      <c r="O10" s="143"/>
      <c r="P10" s="144" t="str">
        <f>UPPER(IF($A$2="R",IF(OR(O10=1,O10="a"),N9,IF(OR(O10=2,O10="b"),N11,"")),IF(OR(O10=1,O10="a"),N9,IF(OR(O10=2,O10="b"),N11,""))))</f>
        <v/>
      </c>
      <c r="Q10" s="176"/>
      <c r="R10" s="177"/>
    </row>
    <row r="11" spans="1:19" ht="12" customHeight="1" x14ac:dyDescent="0.2">
      <c r="A11" s="159">
        <v>7</v>
      </c>
      <c r="B11" s="149">
        <f>5-D11+4</f>
        <v>9</v>
      </c>
      <c r="C11" s="150">
        <v>5</v>
      </c>
      <c r="D11" s="151">
        <f t="shared" si="1"/>
        <v>0</v>
      </c>
      <c r="E11" s="152">
        <f>IF($B$2&gt;=C11,1,0)</f>
        <v>0</v>
      </c>
      <c r="F11" s="162">
        <f>IF(NOT($G11="-"),VLOOKUP($G11,[2]DrawPrep!$A$3:$G$18,2,FALSE),"")</f>
        <v>0</v>
      </c>
      <c r="G11" s="162">
        <f>IF($B$2&gt;=C11,"-",VLOOKUP($B11,[2]Setup!$G$12:$H$27,2,FALSE))</f>
        <v>14</v>
      </c>
      <c r="H11" s="163">
        <f>IF(NOT($G11="-"),VLOOKUP($G11,[2]DrawPrep!$A$3:$G$18,6,FALSE),0)</f>
        <v>0</v>
      </c>
      <c r="I11" s="163">
        <f>IF([2]Setup!$B$24="#",0,IF(NOT($G11="-"),VLOOKUP($G11,[2]DrawPrep!$A$3:$G$18,3,FALSE),0))</f>
        <v>13</v>
      </c>
      <c r="J11" s="164" t="str">
        <f>IF($I11&gt;0,VLOOKUP($I11,[2]DrawPrep!$C$3:$G$18,2,FALSE),"bye")</f>
        <v>Q</v>
      </c>
      <c r="K11" s="164" t="e">
        <f t="shared" si="0"/>
        <v>#VALUE!</v>
      </c>
      <c r="L11" s="165">
        <f>IF($I11&gt;0,VLOOKUP($I11,[2]DrawPrep!$C$3:$G$18,3,FALSE),"")</f>
        <v>0</v>
      </c>
      <c r="M11" s="143"/>
      <c r="N11" s="144" t="str">
        <f>UPPER(IF($A$2="R",IF(OR(M11=1,M11="a"),I11,IF(OR(M11=2,M11="b"),I12,"")),IF(OR(M11=1,M11="a"),K11,IF(OR(M11=2,M11="b"),K12,""))))</f>
        <v/>
      </c>
      <c r="O11" s="157"/>
      <c r="P11" s="178"/>
      <c r="Q11" s="145"/>
      <c r="R11" s="177"/>
    </row>
    <row r="12" spans="1:19" ht="12" customHeight="1" x14ac:dyDescent="0.2">
      <c r="A12" s="166">
        <v>8</v>
      </c>
      <c r="B12" s="149">
        <f>6-D12+4</f>
        <v>10</v>
      </c>
      <c r="C12" s="160"/>
      <c r="D12" s="151">
        <f t="shared" si="1"/>
        <v>0</v>
      </c>
      <c r="E12" s="161">
        <v>0</v>
      </c>
      <c r="F12" s="167">
        <f>IF(NOT($G12="-"),VLOOKUP($G12,[2]DrawPrep!$A$3:$G$18,2,FALSE),"")</f>
        <v>0</v>
      </c>
      <c r="G12" s="179">
        <f>VLOOKUP($B12,[2]Setup!$G$12:$H$27,2,FALSE)</f>
        <v>8</v>
      </c>
      <c r="H12" s="168">
        <f>IF($G12&gt;0,VLOOKUP($G12,[2]DrawPrep!$A$3:$G$18,6,FALSE),0)</f>
        <v>1.25</v>
      </c>
      <c r="I12" s="168">
        <f>IF([2]Setup!$B$24="#",0,IF($G12&gt;0,VLOOKUP($G12,[2]DrawPrep!$A$3:$G$18,3,FALSE),0))</f>
        <v>8</v>
      </c>
      <c r="J12" s="169" t="str">
        <f>IF($I12&gt;0,VLOOKUP($I12,[2]DrawPrep!$C$3:$G$18,2,FALSE),"bye")</f>
        <v>ΧΟΝΔΡΟΣ ΙΑΣΩΝ-ΣΤΥΛΙΑΝΟΣ</v>
      </c>
      <c r="K12" s="169" t="str">
        <f t="shared" si="0"/>
        <v>ΧΟΝΔΡΟΣ</v>
      </c>
      <c r="L12" s="170">
        <f>IF($I12&gt;0,VLOOKUP($I12,[2]DrawPrep!$C$3:$G$18,3,FALSE),"")</f>
        <v>0</v>
      </c>
      <c r="M12" s="157"/>
      <c r="N12" s="178"/>
      <c r="P12" s="146"/>
      <c r="Q12" s="172"/>
      <c r="R12" s="180" t="str">
        <f>UPPER(IF($A$2="R",IF(OR(Q12=1,Q12="a"),R8,IF(OR(Q12=2,Q12="b"),R16,"")),IF(OR(Q12=1,Q12="a"),R8,IF(OR(Q12=2,Q12="b"),R16,""))))</f>
        <v/>
      </c>
      <c r="S12" s="176"/>
    </row>
    <row r="13" spans="1:19" ht="12" customHeight="1" x14ac:dyDescent="0.2">
      <c r="A13" s="181">
        <v>9</v>
      </c>
      <c r="B13" s="133">
        <f>VALUE([2]Setup!E3)</f>
        <v>3</v>
      </c>
      <c r="C13" s="160"/>
      <c r="D13" s="151">
        <f t="shared" si="1"/>
        <v>0</v>
      </c>
      <c r="E13" s="161">
        <v>0</v>
      </c>
      <c r="F13" s="131">
        <f>IF(NOT($G13="-"),VLOOKUP($G13,[2]DrawPrep!$A$3:$G$18,2,FALSE),"")</f>
        <v>0</v>
      </c>
      <c r="G13" s="182">
        <f>VLOOKUP($B13,[2]Setup!$G$12:$H$27,2,FALSE)</f>
        <v>3</v>
      </c>
      <c r="H13" s="183">
        <f>IF($G13&gt;0,VLOOKUP($G13,[2]DrawPrep!$A$3:$G$18,6,FALSE),0)</f>
        <v>4</v>
      </c>
      <c r="I13" s="183">
        <v>15</v>
      </c>
      <c r="J13" s="184" t="str">
        <f>IF($I13&gt;0,VLOOKUP($I13,[2]DrawPrep!$C$3:$G$18,2,FALSE),"bye")</f>
        <v>Q</v>
      </c>
      <c r="K13" s="185" t="e">
        <f t="shared" si="0"/>
        <v>#VALUE!</v>
      </c>
      <c r="L13" s="186">
        <f>IF($I13&gt;0,VLOOKUP($I13,[2]DrawPrep!$C$3:$G$18,3,FALSE),"")</f>
        <v>0</v>
      </c>
      <c r="M13" s="143"/>
      <c r="N13" s="144" t="str">
        <f>UPPER(IF($A$2="R",IF(OR(M13=1,M13="a"),I13,IF(OR(M13=2,M13="b"),I14,"")),IF(OR(M13=1,M13="a"),K13,IF(OR(M13=2,M13="b"),K14,""))))</f>
        <v/>
      </c>
      <c r="O13" s="145"/>
      <c r="P13" s="146"/>
      <c r="R13" s="187"/>
    </row>
    <row r="14" spans="1:19" ht="12" customHeight="1" x14ac:dyDescent="0.2">
      <c r="A14" s="181">
        <v>10</v>
      </c>
      <c r="B14" s="149">
        <f>7-D14+4</f>
        <v>11</v>
      </c>
      <c r="C14" s="175">
        <f>IF([2]Setup!E2=3,4,3)</f>
        <v>3</v>
      </c>
      <c r="D14" s="151">
        <f t="shared" si="1"/>
        <v>0</v>
      </c>
      <c r="E14" s="152">
        <f>IF($B$2&gt;=C14,1,0)</f>
        <v>0</v>
      </c>
      <c r="F14" s="131">
        <f>IF(NOT($G14="-"),VLOOKUP($G14,[2]DrawPrep!$A$3:$G$18,2,FALSE),"")</f>
        <v>0</v>
      </c>
      <c r="G14" s="131">
        <f>IF($B$2&gt;=C14,"-",VLOOKUP($B14,[2]Setup!$G$12:$H$27,2,FALSE))</f>
        <v>10</v>
      </c>
      <c r="H14" s="183">
        <f>IF(NOT($G14="-"),VLOOKUP($G14,[2]DrawPrep!$A$3:$G$18,6,FALSE),0)</f>
        <v>0</v>
      </c>
      <c r="I14" s="183">
        <f>IF([2]Setup!$B$24="#",0,IF(NOT($G14="-"),VLOOKUP($G14,[2]DrawPrep!$A$3:$G$18,3,FALSE),0))</f>
        <v>12</v>
      </c>
      <c r="J14" s="184" t="str">
        <f>IF($I14&gt;0,VLOOKUP($I14,[2]DrawPrep!$C$3:$G$18,2,FALSE),"bye")</f>
        <v>Q</v>
      </c>
      <c r="K14" s="184" t="e">
        <f t="shared" si="0"/>
        <v>#VALUE!</v>
      </c>
      <c r="L14" s="188">
        <f>IF($I14&gt;0,VLOOKUP($I14,[2]DrawPrep!$C$3:$G$18,3,FALSE),"")</f>
        <v>0</v>
      </c>
      <c r="M14" s="157"/>
      <c r="N14" s="158"/>
      <c r="O14" s="143"/>
      <c r="P14" s="144" t="str">
        <f>UPPER(IF($A$2="R",IF(OR(O14=1,O14="a"),N13,IF(OR(O14=2,O14="b"),N15,"")),IF(OR(O14=1,O14="a"),N13,IF(OR(O14=2,O14="b"),N15,""))))</f>
        <v/>
      </c>
      <c r="Q14" s="145"/>
      <c r="R14" s="177"/>
    </row>
    <row r="15" spans="1:19" ht="12" customHeight="1" x14ac:dyDescent="0.2">
      <c r="A15" s="159">
        <v>11</v>
      </c>
      <c r="B15" s="149">
        <f>8-D15+4</f>
        <v>12</v>
      </c>
      <c r="C15" s="160"/>
      <c r="D15" s="151">
        <f t="shared" si="1"/>
        <v>0</v>
      </c>
      <c r="E15" s="161">
        <v>0</v>
      </c>
      <c r="F15" s="162">
        <f>IF(NOT($G15="-"),VLOOKUP($G15,[2]DrawPrep!$A$3:$G$18,2,FALSE),"")</f>
        <v>0</v>
      </c>
      <c r="G15" s="162">
        <f>VLOOKUP($B15,[2]Setup!$G$12:$H$27,2,FALSE)</f>
        <v>16</v>
      </c>
      <c r="H15" s="163">
        <f>IF($G15&gt;0,VLOOKUP($G15,[2]DrawPrep!$A$3:$G$18,6,FALSE),0)</f>
        <v>0</v>
      </c>
      <c r="I15" s="163">
        <f>IF([2]Setup!$B$24="#",0,IF($G15&gt;0,VLOOKUP($G15,[2]DrawPrep!$A$3:$G$18,3,FALSE),0))</f>
        <v>16</v>
      </c>
      <c r="J15" s="164" t="str">
        <f>IF($I15&gt;0,VLOOKUP($I15,[2]DrawPrep!$C$3:$G$18,2,FALSE),"bye")</f>
        <v>Q</v>
      </c>
      <c r="K15" s="164" t="e">
        <f t="shared" si="0"/>
        <v>#VALUE!</v>
      </c>
      <c r="L15" s="165">
        <f>IF($I15&gt;0,VLOOKUP($I15,[2]DrawPrep!$C$3:$G$18,3,FALSE),"")</f>
        <v>0</v>
      </c>
      <c r="M15" s="143"/>
      <c r="N15" s="144" t="str">
        <f>UPPER(IF($A$2="R",IF(OR(M15=1,M15="a"),I15,IF(OR(M15=2,M15="b"),I16,"")),IF(OR(M15=1,M15="a"),K15,IF(OR(M15=2,M15="b"),K16,""))))</f>
        <v/>
      </c>
      <c r="O15" s="157"/>
      <c r="P15" s="158"/>
      <c r="Q15" s="145"/>
      <c r="R15" s="177"/>
    </row>
    <row r="16" spans="1:19" ht="12" customHeight="1" x14ac:dyDescent="0.2">
      <c r="A16" s="166">
        <v>12</v>
      </c>
      <c r="B16" s="149">
        <f>9-D16+4</f>
        <v>13</v>
      </c>
      <c r="C16" s="150">
        <v>6</v>
      </c>
      <c r="D16" s="151">
        <f t="shared" si="1"/>
        <v>0</v>
      </c>
      <c r="E16" s="152">
        <f>IF($B$2&gt;=C16,1,0)</f>
        <v>0</v>
      </c>
      <c r="F16" s="167">
        <f>IF(NOT($G16="-"),VLOOKUP($G16,[2]DrawPrep!$A$3:$G$18,2,FALSE),"")</f>
        <v>0</v>
      </c>
      <c r="G16" s="167">
        <f>IF($B$2&gt;=C16,"-",VLOOKUP($B16,[2]Setup!$G$12:$H$27,2,FALSE))</f>
        <v>13</v>
      </c>
      <c r="H16" s="168">
        <f>IF(NOT($G16="-"),VLOOKUP($G16,[2]DrawPrep!$A$3:$G$18,6,FALSE),0)</f>
        <v>0</v>
      </c>
      <c r="I16" s="189">
        <v>3</v>
      </c>
      <c r="J16" s="190" t="str">
        <f>IF($I16&gt;0,VLOOKUP($I16,[2]DrawPrep!$C$3:$G$18,2,FALSE),"bye")</f>
        <v>ΑΓΓΕΛΙΝΟΣ ΘΟΔΩΡΗΣ</v>
      </c>
      <c r="K16" s="169" t="str">
        <f t="shared" si="0"/>
        <v>ΑΓΓΕΛΙΝΟΣ</v>
      </c>
      <c r="L16" s="170">
        <f>IF($I16&gt;0,VLOOKUP($I16,[2]DrawPrep!$C$3:$G$18,3,FALSE),"")</f>
        <v>0</v>
      </c>
      <c r="M16" s="191"/>
      <c r="N16" s="178"/>
      <c r="O16" s="145"/>
      <c r="P16" s="171"/>
      <c r="Q16" s="172"/>
      <c r="R16" s="192" t="str">
        <f>UPPER(IF($A$2="R",IF(OR(Q16=1,Q16="a"),P14,IF(OR(Q16=2,Q16="b"),P18,"")),IF(OR(Q16=1,Q16="a"),P14,IF(OR(Q16=2,Q16="b"),P18,""))))</f>
        <v/>
      </c>
      <c r="S16" s="176"/>
    </row>
    <row r="17" spans="1:19" ht="12" customHeight="1" x14ac:dyDescent="0.2">
      <c r="A17" s="181">
        <v>13</v>
      </c>
      <c r="B17" s="149">
        <f>10-D17+4</f>
        <v>14</v>
      </c>
      <c r="C17" s="160"/>
      <c r="D17" s="151">
        <f t="shared" si="1"/>
        <v>0</v>
      </c>
      <c r="E17" s="161">
        <v>0</v>
      </c>
      <c r="F17" s="131">
        <f>IF(NOT($G17="-"),VLOOKUP($G17,[2]DrawPrep!$A$3:$G$18,2,FALSE),"")</f>
        <v>0</v>
      </c>
      <c r="G17" s="131">
        <f>VLOOKUP($B17,[2]Setup!$G$12:$H$27,2,FALSE)</f>
        <v>6</v>
      </c>
      <c r="H17" s="183">
        <f>IF($G17&gt;0,VLOOKUP($G17,[2]DrawPrep!$A$3:$G$18,6,FALSE),0)</f>
        <v>1.5</v>
      </c>
      <c r="I17" s="183">
        <f>IF([2]Setup!$B$24="#",0,IF($G17&gt;0,VLOOKUP($G17,[2]DrawPrep!$A$3:$G$18,3,FALSE),0))</f>
        <v>6</v>
      </c>
      <c r="J17" s="184" t="str">
        <f>IF($I17&gt;0,VLOOKUP($I17,[2]DrawPrep!$C$3:$G$18,2,FALSE),"bye")</f>
        <v>ΚΩΣΤΙΚΟΓΛΟΥ ΜΙΧΑΛΗΣ</v>
      </c>
      <c r="K17" s="184" t="str">
        <f t="shared" si="0"/>
        <v>ΚΩΣΤΙΚΟΓΛΟΥ</v>
      </c>
      <c r="L17" s="188">
        <f>IF($I17&gt;0,VLOOKUP($I17,[2]DrawPrep!$C$3:$G$18,3,FALSE),"")</f>
        <v>0</v>
      </c>
      <c r="M17" s="143"/>
      <c r="N17" s="144" t="str">
        <f>UPPER(IF($A$2="R",IF(OR(M17=1,M17="a"),I17,IF(OR(M17=2,M17="b"),I18,"")),IF(OR(M17=1,M17="a"),K17,IF(OR(M17=2,M17="b"),K18,""))))</f>
        <v/>
      </c>
      <c r="O17" s="145"/>
      <c r="P17" s="171"/>
      <c r="Q17" s="145"/>
      <c r="R17" s="131"/>
    </row>
    <row r="18" spans="1:19" ht="12" customHeight="1" x14ac:dyDescent="0.2">
      <c r="A18" s="181">
        <v>14</v>
      </c>
      <c r="B18" s="149">
        <f>11-D18+4</f>
        <v>15</v>
      </c>
      <c r="C18" s="150">
        <v>8</v>
      </c>
      <c r="D18" s="151">
        <f t="shared" si="1"/>
        <v>0</v>
      </c>
      <c r="E18" s="152">
        <f>IF($B$2&gt;=C18,1,0)</f>
        <v>0</v>
      </c>
      <c r="F18" s="131">
        <f>IF(NOT($G18="-"),VLOOKUP($G18,[2]DrawPrep!$A$3:$G$18,2,FALSE),"")</f>
        <v>0</v>
      </c>
      <c r="G18" s="131">
        <f>IF($B$2&gt;=C18,"-",VLOOKUP($B18,[2]Setup!$G$12:$H$27,2,FALSE))</f>
        <v>7</v>
      </c>
      <c r="H18" s="183">
        <f>IF(NOT($G18="-"),VLOOKUP($G18,[2]DrawPrep!$A$3:$G$18,6,FALSE),0)</f>
        <v>1.5</v>
      </c>
      <c r="I18" s="183">
        <f>IF([2]Setup!$B$24="#",0,IF(NOT($G18="-"),VLOOKUP($G18,[2]DrawPrep!$A$3:$G$18,3,FALSE),0))</f>
        <v>7</v>
      </c>
      <c r="J18" s="184" t="str">
        <f>IF($I18&gt;0,VLOOKUP($I18,[2]DrawPrep!$C$3:$G$18,2,FALSE),"bye")</f>
        <v>ΣΑΚΕΛΛΑΡΙΔΗΣ ΜΙΧΑΛΗΣ</v>
      </c>
      <c r="K18" s="184" t="str">
        <f t="shared" si="0"/>
        <v>ΣΑΚΕΛΛΑΡΙΔΗΣ</v>
      </c>
      <c r="L18" s="188">
        <f>IF($I18&gt;0,VLOOKUP($I18,[2]DrawPrep!$C$3:$G$18,3,FALSE),"")</f>
        <v>0</v>
      </c>
      <c r="M18" s="157"/>
      <c r="N18" s="158"/>
      <c r="O18" s="143"/>
      <c r="P18" s="144" t="str">
        <f>UPPER(IF($A$2="R",IF(OR(O18=1,O18="a"),N17,IF(OR(O18=2,O18="b"),N19,"")),IF(OR(O18=1,O18="a"),N17,IF(OR(O18=2,O18="b"),N19,""))))</f>
        <v/>
      </c>
      <c r="Q18" s="176"/>
      <c r="R18" s="146"/>
    </row>
    <row r="19" spans="1:19" ht="12" customHeight="1" x14ac:dyDescent="0.2">
      <c r="A19" s="159">
        <v>15</v>
      </c>
      <c r="B19" s="149">
        <f>12-D19+4</f>
        <v>16</v>
      </c>
      <c r="C19" s="150">
        <v>2</v>
      </c>
      <c r="D19" s="151">
        <f t="shared" si="1"/>
        <v>0</v>
      </c>
      <c r="E19" s="152">
        <f>IF($B$2&gt;=C19,1,0)</f>
        <v>0</v>
      </c>
      <c r="F19" s="162">
        <f>IF(NOT($G19="-"),VLOOKUP($G19,[2]DrawPrep!$A$3:$G$18,2,FALSE),"")</f>
        <v>0</v>
      </c>
      <c r="G19" s="162">
        <f>IF($B$2&gt;=C19,"-",VLOOKUP($B19,[2]Setup!$G$12:$H$27,2,FALSE))</f>
        <v>9</v>
      </c>
      <c r="H19" s="163">
        <f>IF(NOT($G19="-"),VLOOKUP($G19,[2]DrawPrep!$A$3:$G$18,6,FALSE),0)</f>
        <v>0</v>
      </c>
      <c r="I19" s="163">
        <f>IF([2]Setup!$B$24="#",0,IF(NOT($G19="-"),VLOOKUP($G19,[2]DrawPrep!$A$3:$G$18,3,FALSE),0))</f>
        <v>9</v>
      </c>
      <c r="J19" s="164" t="str">
        <f>IF($I19&gt;0,VLOOKUP($I19,[2]DrawPrep!$C$3:$G$18,2,FALSE),"bye")</f>
        <v>Q</v>
      </c>
      <c r="K19" s="164" t="e">
        <f t="shared" si="0"/>
        <v>#VALUE!</v>
      </c>
      <c r="L19" s="165">
        <f>IF($I19&gt;0,VLOOKUP($I19,[2]DrawPrep!$C$3:$G$18,3,FALSE),"")</f>
        <v>0</v>
      </c>
      <c r="M19" s="143"/>
      <c r="N19" s="144" t="str">
        <f>UPPER(IF($A$2="R",IF(OR(M19=1,M19="a"),I19,IF(OR(M19=2,M19="b"),I20,"")),IF(OR(M19=1,M19="a"),K19,IF(OR(M19=2,M19="b"),K20,""))))</f>
        <v/>
      </c>
      <c r="O19" s="157"/>
      <c r="P19" s="178"/>
      <c r="Q19" s="145"/>
      <c r="R19" s="146"/>
    </row>
    <row r="20" spans="1:19" ht="12" customHeight="1" x14ac:dyDescent="0.2">
      <c r="A20" s="166">
        <v>16</v>
      </c>
      <c r="B20" s="133">
        <v>2</v>
      </c>
      <c r="C20" s="160"/>
      <c r="D20" s="151">
        <f t="shared" si="1"/>
        <v>0</v>
      </c>
      <c r="E20" s="161">
        <v>0</v>
      </c>
      <c r="F20" s="167">
        <f>IF(NOT($G20="-"),VLOOKUP($G20,[2]DrawPrep!$A$3:$G$18,2,FALSE),"")</f>
        <v>0</v>
      </c>
      <c r="G20" s="193">
        <f>VLOOKUP($B20,[2]Setup!$G$12:$H$27,2,FALSE)</f>
        <v>2</v>
      </c>
      <c r="H20" s="168">
        <f>IF($G20&gt;0,VLOOKUP($G20,[2]DrawPrep!$A$3:$G$18,6,FALSE),0)</f>
        <v>6</v>
      </c>
      <c r="I20" s="189">
        <f>IF([2]Setup!$B$24="#",0,IF($G20&gt;0,VLOOKUP($G20,[2]DrawPrep!$A$3:$G$18,3,FALSE),0))</f>
        <v>2</v>
      </c>
      <c r="J20" s="190" t="str">
        <f>IF($I20&gt;0,VLOOKUP($I20,[2]DrawPrep!$C$3:$G$18,2,FALSE),"bye")</f>
        <v>ΓΙΩΤΟΠΟΥΛΟΣ ΓΙΩΡΓΟΣ</v>
      </c>
      <c r="K20" s="190" t="str">
        <f t="shared" si="0"/>
        <v>ΓΙΩΤΟΠΟΥΛΟΣ</v>
      </c>
      <c r="L20" s="194">
        <f>IF($I20&gt;0,VLOOKUP($I20,[2]DrawPrep!$C$3:$G$18,3,FALSE),"")</f>
        <v>0</v>
      </c>
      <c r="M20" s="157"/>
      <c r="N20" s="178"/>
      <c r="O20" s="145"/>
      <c r="P20" s="146"/>
      <c r="Q20" s="145"/>
      <c r="R20" s="146"/>
      <c r="S20" s="129"/>
    </row>
    <row r="21" spans="1:19" x14ac:dyDescent="0.2">
      <c r="N21" s="196" t="s">
        <v>10</v>
      </c>
      <c r="P21" s="196" t="s">
        <v>10</v>
      </c>
      <c r="R21" s="196" t="s">
        <v>10</v>
      </c>
    </row>
    <row r="22" spans="1:19" x14ac:dyDescent="0.2">
      <c r="G22" s="197"/>
      <c r="H22" s="197"/>
      <c r="P22" s="146"/>
    </row>
    <row r="23" spans="1:19" x14ac:dyDescent="0.2">
      <c r="G23" s="131"/>
      <c r="H23" s="131"/>
      <c r="P23" s="198"/>
    </row>
    <row r="24" spans="1:19" s="199" customFormat="1" ht="9.75" x14ac:dyDescent="0.2">
      <c r="C24" s="200"/>
      <c r="D24" s="201"/>
      <c r="E24" s="201"/>
      <c r="G24" s="200"/>
      <c r="H24" s="200"/>
      <c r="I24" s="201"/>
      <c r="J24" s="202" t="s">
        <v>11</v>
      </c>
      <c r="K24" s="203"/>
      <c r="M24" s="204"/>
      <c r="O24" s="205"/>
      <c r="Q24" s="205"/>
      <c r="R24" s="206"/>
      <c r="S24" s="207"/>
    </row>
    <row r="25" spans="1:19" s="199" customFormat="1" ht="9.75" x14ac:dyDescent="0.2">
      <c r="C25" s="200"/>
      <c r="D25" s="201"/>
      <c r="E25" s="201"/>
      <c r="G25" s="200"/>
      <c r="H25" s="200"/>
      <c r="I25" s="201"/>
      <c r="J25" s="208" t="str">
        <f>"1. " &amp; IF([2]Setup!B19&gt;0,LEFT([2]DrawPrep!D3,FIND(" ",[2]DrawPrep!D3)+1),"")</f>
        <v>1. ΓΕΜΟΥΧΙΔΗΣ Π</v>
      </c>
      <c r="K25" s="206"/>
      <c r="M25" s="209"/>
      <c r="N25" s="209"/>
      <c r="O25" s="205"/>
      <c r="Q25" s="205"/>
      <c r="R25" s="206"/>
      <c r="S25" s="207"/>
    </row>
    <row r="26" spans="1:19" s="199" customFormat="1" ht="9.75" x14ac:dyDescent="0.2">
      <c r="C26" s="200"/>
      <c r="D26" s="201"/>
      <c r="E26" s="201"/>
      <c r="G26" s="200"/>
      <c r="H26" s="200"/>
      <c r="I26" s="201"/>
      <c r="J26" s="208" t="str">
        <f>"2. " &amp; IF([2]Setup!B19&gt;1,LEFT([2]DrawPrep!D4,FIND(" ",[2]DrawPrep!D4)+1),"")</f>
        <v>2. ΓΙΩΤΟΠΟΥΛΟΣ Γ</v>
      </c>
      <c r="K26" s="206"/>
      <c r="M26" s="204"/>
      <c r="O26" s="205"/>
      <c r="Q26" s="205"/>
      <c r="R26" s="210" t="s">
        <v>12</v>
      </c>
      <c r="S26" s="207"/>
    </row>
    <row r="27" spans="1:19" s="199" customFormat="1" ht="9.75" x14ac:dyDescent="0.2">
      <c r="C27" s="200"/>
      <c r="D27" s="201"/>
      <c r="E27" s="201"/>
      <c r="G27" s="200"/>
      <c r="H27" s="200"/>
      <c r="I27" s="201"/>
      <c r="J27" s="208" t="str">
        <f>"3. " &amp; IF([2]Setup!B19&gt;2,LEFT([2]DrawPrep!D5,FIND(" ",[2]DrawPrep!D5)+1),"")</f>
        <v>3. ΑΓΓΕΛΙΝΟΣ Θ</v>
      </c>
      <c r="K27" s="206"/>
      <c r="M27" s="204"/>
      <c r="O27" s="205"/>
      <c r="Q27" s="205"/>
      <c r="R27" s="308" t="str">
        <f>[2]Setup!B10</f>
        <v>Τ.Ταμπόση</v>
      </c>
      <c r="S27" s="308"/>
    </row>
    <row r="28" spans="1:19" s="199" customFormat="1" ht="9.75" x14ac:dyDescent="0.2">
      <c r="C28" s="200"/>
      <c r="D28" s="201"/>
      <c r="E28" s="201"/>
      <c r="G28" s="200"/>
      <c r="H28" s="200"/>
      <c r="I28" s="201"/>
      <c r="J28" s="208" t="str">
        <f>"4. " &amp; IF([2]Setup!B19&gt;3,LEFT([2]DrawPrep!D6,FIND(" ",[2]DrawPrep!D6)+1),"")</f>
        <v>4. ΗΛΙΟΠΟΥΛΟΣ Β</v>
      </c>
      <c r="K28" s="206"/>
      <c r="M28" s="204"/>
      <c r="O28" s="205"/>
      <c r="Q28" s="205"/>
      <c r="R28" s="206"/>
      <c r="S28" s="207"/>
    </row>
    <row r="39" spans="10:10" x14ac:dyDescent="0.2">
      <c r="J39" s="211"/>
    </row>
    <row r="40" spans="10:10" x14ac:dyDescent="0.2">
      <c r="J40" s="212" t="s">
        <v>13</v>
      </c>
    </row>
    <row r="41" spans="10:10" x14ac:dyDescent="0.2">
      <c r="J41" s="213" t="str">
        <f>IF([2]Setup!$B$19&gt;0,LEFT([2]DrawPrep!D3,FIND(" ",[2]DrawPrep!D3)-1))</f>
        <v>ΓΕΜΟΥΧΙΔΗΣ</v>
      </c>
    </row>
    <row r="42" spans="10:10" x14ac:dyDescent="0.2">
      <c r="J42" s="213" t="str">
        <f>IF([2]Setup!$B$19&gt;1,LEFT([2]DrawPrep!D4,FIND(" ",[2]DrawPrep!D4)-1))</f>
        <v>ΓΙΩΤΟΠΟΥΛΟΣ</v>
      </c>
    </row>
    <row r="43" spans="10:10" x14ac:dyDescent="0.2">
      <c r="J43" s="213" t="str">
        <f>IF([2]Setup!$B$19&gt;2,LEFT([2]DrawPrep!D5,FIND(" ",[2]DrawPrep!D5)-1))</f>
        <v>ΑΓΓΕΛΙΝΟΣ</v>
      </c>
    </row>
    <row r="44" spans="10:10" x14ac:dyDescent="0.2">
      <c r="J44" s="213" t="str">
        <f>IF([2]Setup!$B$19&gt;3,LEFT([2]DrawPrep!D6,FIND(" ",[2]DrawPrep!D6)-1))</f>
        <v>ΗΛΙΟΠΟΥΛΟΣ</v>
      </c>
    </row>
    <row r="45" spans="10:10" ht="12" x14ac:dyDescent="0.2">
      <c r="J45" s="214"/>
    </row>
    <row r="46" spans="10:10" ht="12" x14ac:dyDescent="0.2">
      <c r="J46" s="215"/>
    </row>
    <row r="47" spans="10:10" ht="12" x14ac:dyDescent="0.2">
      <c r="J47" s="215"/>
    </row>
    <row r="48" spans="10:10" ht="12" x14ac:dyDescent="0.2">
      <c r="J48" s="215"/>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70" priority="2">
      <formula>MATCH(N5,$J$41:$J$44,0)</formula>
    </cfRule>
  </conditionalFormatting>
  <conditionalFormatting sqref="R12">
    <cfRule type="expression" dxfId="69"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2]!Sheet2pdf">
                <anchor moveWithCells="1" sizeWithCells="1">
                  <from>
                    <xdr:col>19</xdr:col>
                    <xdr:colOff>76200</xdr:colOff>
                    <xdr:row>1</xdr:row>
                    <xdr:rowOff>19050</xdr:rowOff>
                  </from>
                  <to>
                    <xdr:col>22</xdr:col>
                    <xdr:colOff>219075</xdr:colOff>
                    <xdr:row>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48"/>
  <sheetViews>
    <sheetView showGridLines="0" showZeros="0" zoomScale="115" zoomScaleNormal="115" workbookViewId="0">
      <pane ySplit="1" topLeftCell="A2" activePane="bottomLeft" state="frozen"/>
      <selection pane="bottomLeft" activeCell="J26" sqref="J26"/>
    </sheetView>
  </sheetViews>
  <sheetFormatPr defaultColWidth="5.140625" defaultRowHeight="11.25" x14ac:dyDescent="0.2"/>
  <cols>
    <col min="1" max="1" width="2.42578125" style="114" bestFit="1" customWidth="1"/>
    <col min="2" max="2" width="2.42578125" style="114" hidden="1" customWidth="1"/>
    <col min="3" max="3" width="6" style="117" hidden="1" customWidth="1"/>
    <col min="4" max="4" width="5.28515625" style="118" hidden="1" customWidth="1"/>
    <col min="5" max="5" width="4.7109375" style="118" hidden="1" customWidth="1"/>
    <col min="6" max="6" width="3" style="114" hidden="1" customWidth="1"/>
    <col min="7" max="7" width="3.42578125" style="117" bestFit="1" customWidth="1"/>
    <col min="8" max="8" width="3.28515625" style="117" bestFit="1" customWidth="1"/>
    <col min="9" max="9" width="4.7109375" style="119" bestFit="1" customWidth="1"/>
    <col min="10" max="10" width="33.140625" style="114" customWidth="1"/>
    <col min="11" max="11" width="20.5703125" style="114" hidden="1" customWidth="1"/>
    <col min="12" max="12" width="3.85546875" style="114" customWidth="1"/>
    <col min="13" max="13" width="1.42578125" style="195" bestFit="1" customWidth="1"/>
    <col min="14" max="14" width="14.85546875" style="114" customWidth="1"/>
    <col min="15" max="15" width="4.42578125" style="147" customWidth="1"/>
    <col min="16" max="16" width="14.140625" style="114" bestFit="1" customWidth="1"/>
    <col min="17" max="17" width="1.42578125" style="147" bestFit="1" customWidth="1"/>
    <col min="18" max="18" width="14.140625" style="198" bestFit="1" customWidth="1"/>
    <col min="19" max="19" width="0.85546875" style="145" customWidth="1"/>
    <col min="20" max="16384" width="5.140625" style="114"/>
  </cols>
  <sheetData>
    <row r="1" spans="1:19" s="110" customFormat="1" ht="16.5" x14ac:dyDescent="0.2">
      <c r="A1" s="306" t="str">
        <f>[3]Setup!B3 &amp; ", " &amp; [3]Setup!B4 &amp; ", " &amp; [3]Setup!B6 &amp; ", " &amp; [3]Setup!B8 &amp; "-" &amp; [3]Setup!B9</f>
        <v>Η Ένωση, ΟΡΕΝ MASTERS, ΟΑ ΑΘΗΝΩΝ, 14-22 Νοε</v>
      </c>
      <c r="B1" s="306"/>
      <c r="C1" s="306"/>
      <c r="D1" s="306"/>
      <c r="E1" s="306"/>
      <c r="F1" s="306"/>
      <c r="G1" s="306"/>
      <c r="H1" s="306"/>
      <c r="I1" s="306"/>
      <c r="J1" s="306"/>
      <c r="K1" s="306"/>
      <c r="L1" s="306"/>
      <c r="M1" s="306"/>
      <c r="N1" s="306"/>
      <c r="O1" s="306"/>
      <c r="P1" s="306"/>
      <c r="Q1" s="107"/>
      <c r="R1" s="108" t="str">
        <f>[3]Setup!B7</f>
        <v>w q</v>
      </c>
      <c r="S1" s="109"/>
    </row>
    <row r="2" spans="1:19" x14ac:dyDescent="0.2">
      <c r="A2" s="111"/>
      <c r="B2" s="112">
        <f>[3]Setup!$B$18</f>
        <v>0</v>
      </c>
      <c r="C2" s="112"/>
      <c r="D2" s="113"/>
      <c r="E2" s="113"/>
      <c r="G2" s="115"/>
      <c r="H2" s="115"/>
      <c r="I2" s="115" t="s">
        <v>14</v>
      </c>
      <c r="J2" s="115"/>
      <c r="K2" s="115"/>
      <c r="L2" s="115"/>
      <c r="M2" s="115"/>
      <c r="N2" s="115" t="s">
        <v>15</v>
      </c>
      <c r="O2" s="115"/>
      <c r="P2" s="115"/>
      <c r="Q2" s="115"/>
      <c r="R2" s="115"/>
      <c r="S2" s="116"/>
    </row>
    <row r="3" spans="1:19" x14ac:dyDescent="0.2">
      <c r="J3" s="307">
        <v>16</v>
      </c>
      <c r="K3" s="307"/>
      <c r="L3" s="307"/>
      <c r="M3" s="120"/>
      <c r="N3" s="121">
        <v>8</v>
      </c>
      <c r="O3" s="122"/>
      <c r="P3" s="121"/>
      <c r="Q3" s="122"/>
      <c r="R3" s="123"/>
      <c r="S3" s="124"/>
    </row>
    <row r="4" spans="1:19" s="117" customFormat="1" x14ac:dyDescent="0.2">
      <c r="A4" s="125" t="s">
        <v>0</v>
      </c>
      <c r="B4" s="126"/>
      <c r="C4" s="127" t="s">
        <v>1</v>
      </c>
      <c r="D4" s="127" t="s">
        <v>2</v>
      </c>
      <c r="E4" s="127" t="s">
        <v>3</v>
      </c>
      <c r="F4" s="125" t="s">
        <v>4</v>
      </c>
      <c r="G4" s="125" t="s">
        <v>5</v>
      </c>
      <c r="H4" s="125" t="s">
        <v>6</v>
      </c>
      <c r="I4" s="125" t="s">
        <v>7</v>
      </c>
      <c r="J4" s="128" t="s">
        <v>8</v>
      </c>
      <c r="K4" s="127" t="s">
        <v>9</v>
      </c>
      <c r="L4" s="128"/>
      <c r="M4" s="129"/>
      <c r="O4" s="130"/>
      <c r="Q4" s="130"/>
      <c r="R4" s="131"/>
      <c r="S4" s="112"/>
    </row>
    <row r="5" spans="1:19" ht="12" customHeight="1" x14ac:dyDescent="0.2">
      <c r="A5" s="132">
        <v>1</v>
      </c>
      <c r="B5" s="133">
        <v>1</v>
      </c>
      <c r="C5" s="134"/>
      <c r="D5" s="135"/>
      <c r="E5" s="136">
        <v>0</v>
      </c>
      <c r="F5" s="137">
        <f>IF(NOT($G5="-"),VLOOKUP($G5,[3]DrawPrep!$A$3:$G$18,2,FALSE),"")</f>
        <v>0</v>
      </c>
      <c r="G5" s="138">
        <f>VLOOKUP($B5,[3]Setup!$G$12:$H$27,2,FALSE)</f>
        <v>1</v>
      </c>
      <c r="H5" s="139">
        <f>IF($G5&gt;0,VLOOKUP($G5,[3]DrawPrep!$A$3:$G$18,6,FALSE),0)</f>
        <v>0.5</v>
      </c>
      <c r="I5" s="140">
        <f>IF([3]Setup!$B$24="#",0,IF($G5&gt;0,VLOOKUP($G5,[3]DrawPrep!$A$3:$G$18,3,FALSE),0))</f>
        <v>6</v>
      </c>
      <c r="J5" s="141" t="str">
        <f>IF($I5&gt;0,VLOOKUP($I5,[3]DrawPrep!$C$3:$G$18,2,FALSE),"bye")</f>
        <v>ΤΣΙΑΡΑ ΕΥΘΥΜΙΑ</v>
      </c>
      <c r="K5" s="141" t="str">
        <f>IF(NOT(I5&gt;0),"", IF(ISERROR(FIND("-",J5)), LEFT(J5,FIND(" ",J5)-1), IF(FIND("-",J5)&gt;FIND(" ",J5),LEFT(J5,FIND(" ",J5)-1), LEFT(J5,FIND("-",J5)-1) )))</f>
        <v>ΤΣΙΑΡΑ</v>
      </c>
      <c r="L5" s="142">
        <f>IF($I5&gt;0,VLOOKUP($I5,[3]DrawPrep!$C$3:$G$18,3,FALSE),"")</f>
        <v>0</v>
      </c>
      <c r="M5" s="143"/>
      <c r="N5" s="144" t="str">
        <f>UPPER(IF($A$2="R",IF(OR(M5=1,M5="a"),I5,IF(OR(M5=2,M5="b"),I6,"")),IF(OR(M5=1,M5="1"),K5,IF(OR(M5=2,M5="b"),K6,""))))</f>
        <v/>
      </c>
      <c r="O5" s="216" t="s">
        <v>18</v>
      </c>
      <c r="P5" s="146"/>
      <c r="R5" s="146"/>
    </row>
    <row r="6" spans="1:19" ht="12" customHeight="1" x14ac:dyDescent="0.2">
      <c r="A6" s="148">
        <v>2</v>
      </c>
      <c r="B6" s="149">
        <f>1-D6+4</f>
        <v>5</v>
      </c>
      <c r="C6" s="150">
        <v>1</v>
      </c>
      <c r="D6" s="151">
        <f>E6</f>
        <v>0</v>
      </c>
      <c r="E6" s="152">
        <f>IF($B$2&gt;=C6,1,0)</f>
        <v>0</v>
      </c>
      <c r="F6" s="153">
        <f>IF(NOT($G6="-"),VLOOKUP($G6,[3]DrawPrep!$A$3:$G$18,2,FALSE),"")</f>
        <v>0</v>
      </c>
      <c r="G6" s="153">
        <f>IF($B$2&gt;=C6,"-",VLOOKUP($B6,[3]Setup!$G$12:$H$27,2,FALSE))</f>
        <v>14</v>
      </c>
      <c r="H6" s="154">
        <f>IF(NOT($G6="-"),VLOOKUP($G6,[3]DrawPrep!$A$3:$G$18,6,FALSE),0)</f>
        <v>0</v>
      </c>
      <c r="I6" s="154">
        <v>8</v>
      </c>
      <c r="J6" s="155" t="str">
        <f>IF($I6&gt;0,VLOOKUP($I6,[3]DrawPrep!$C$3:$G$18,2,FALSE),"bye")</f>
        <v>ΓΚΟΥΝΤΑΝΗ ΓΕΩΡΓΙΑ</v>
      </c>
      <c r="K6" s="155" t="str">
        <f t="shared" ref="K6:K20" si="0">IF(NOT(I6&gt;0),"", IF(ISERROR(FIND("-",J6)), LEFT(J6,FIND(" ",J6)-1), IF(FIND("-",J6)&gt;FIND(" ",J6),LEFT(J6,FIND(" ",J6)-1), LEFT(J6,FIND("-",J6)-1) )))</f>
        <v>ΓΚΟΥΝΤΑΝΗ</v>
      </c>
      <c r="L6" s="156">
        <f>IF($I6&gt;0,VLOOKUP($I6,[3]DrawPrep!$C$3:$G$18,3,FALSE),"")</f>
        <v>0</v>
      </c>
      <c r="M6" s="157"/>
      <c r="N6" s="178"/>
      <c r="O6" s="216"/>
      <c r="P6" s="217" t="str">
        <f>UPPER(IF($A$2="R",IF(OR(O6=1,O6="a"),N5,IF(OR(O6=2,O6="b"),N7,"")),IF(OR(O6=1,O6="a"),N5,IF(OR(O6=2,O6="b"),N7,""))))</f>
        <v/>
      </c>
      <c r="Q6" s="145"/>
      <c r="R6" s="146"/>
    </row>
    <row r="7" spans="1:19" ht="12" customHeight="1" x14ac:dyDescent="0.2">
      <c r="A7" s="159">
        <v>3</v>
      </c>
      <c r="B7" s="149">
        <f>2-D7+4</f>
        <v>6</v>
      </c>
      <c r="C7" s="160"/>
      <c r="D7" s="151">
        <f t="shared" ref="D7:D20" si="1">D6+E7</f>
        <v>0</v>
      </c>
      <c r="E7" s="161">
        <v>0</v>
      </c>
      <c r="F7" s="162">
        <f>IF(NOT($G7="-"),VLOOKUP($G7,[3]DrawPrep!$A$3:$G$18,2,FALSE),"")</f>
        <v>0</v>
      </c>
      <c r="G7" s="162">
        <v>2</v>
      </c>
      <c r="H7" s="163">
        <f>IF($G7&gt;0,VLOOKUP($G7,[3]DrawPrep!$A$3:$G$18,6,FALSE),0)</f>
        <v>0.5</v>
      </c>
      <c r="I7" s="218">
        <v>4</v>
      </c>
      <c r="J7" s="219" t="str">
        <f>IF($I7&gt;0,VLOOKUP($I7,[3]DrawPrep!$C$3:$G$18,2,FALSE),"bye")</f>
        <v>ΠΑΠΑΔΑΚΗ ΑΛΕΞΑΝΔΡΑ</v>
      </c>
      <c r="K7" s="164" t="str">
        <f t="shared" si="0"/>
        <v>ΠΑΠΑΔΑΚΗ</v>
      </c>
      <c r="L7" s="165">
        <f>IF($I7&gt;0,VLOOKUP($I7,[3]DrawPrep!$C$3:$G$18,3,FALSE),"")</f>
        <v>0</v>
      </c>
      <c r="M7" s="143"/>
      <c r="N7" s="144" t="str">
        <f>UPPER(IF($A$2="R",IF(OR(M7=1,M7="a"),I7,IF(OR(M7=2,M7="b"),I8,"")),IF(OR(M7=1,M7="a"),K7,IF(OR(M7=2,M7="b"),K8,""))))</f>
        <v/>
      </c>
      <c r="O7" s="216" t="s">
        <v>18</v>
      </c>
      <c r="P7" s="146"/>
      <c r="Q7" s="145"/>
      <c r="R7" s="146"/>
    </row>
    <row r="8" spans="1:19" ht="12" customHeight="1" x14ac:dyDescent="0.2">
      <c r="A8" s="166">
        <v>4</v>
      </c>
      <c r="B8" s="149">
        <f>3-D8+4</f>
        <v>7</v>
      </c>
      <c r="C8" s="150">
        <v>7</v>
      </c>
      <c r="D8" s="151">
        <f t="shared" si="1"/>
        <v>0</v>
      </c>
      <c r="E8" s="152">
        <f>IF($B$2&gt;=C8,1,0)</f>
        <v>0</v>
      </c>
      <c r="F8" s="167">
        <f>IF(NOT($G8="-"),VLOOKUP($G8,[3]DrawPrep!$A$3:$G$18,2,FALSE),"")</f>
        <v>0</v>
      </c>
      <c r="G8" s="167">
        <f>IF($B$2&gt;=C8,"-",VLOOKUP($B8,[3]Setup!$G$12:$H$27,2,FALSE))</f>
        <v>9</v>
      </c>
      <c r="H8" s="168">
        <f>IF(NOT($G8="-"),VLOOKUP($G8,[3]DrawPrep!$A$3:$G$18,6,FALSE),0)</f>
        <v>0</v>
      </c>
      <c r="I8" s="168">
        <v>11</v>
      </c>
      <c r="J8" s="169" t="str">
        <f>IF($I8&gt;0,VLOOKUP($I8,[3]DrawPrep!$C$3:$G$18,2,FALSE),"bye")</f>
        <v>ΚΑΝΕΛΛΟΠΟΥΛΟΥ ΜΑΡΙΛΗ</v>
      </c>
      <c r="K8" s="169" t="str">
        <f t="shared" si="0"/>
        <v>ΚΑΝΕΛΛΟΠΟΥΛΟΥ</v>
      </c>
      <c r="L8" s="170">
        <f>IF($I8&gt;0,VLOOKUP($I8,[3]DrawPrep!$C$3:$G$18,3,FALSE),"")</f>
        <v>0</v>
      </c>
      <c r="M8" s="157"/>
      <c r="N8" s="118"/>
      <c r="O8" s="216"/>
      <c r="P8" s="146"/>
      <c r="Q8" s="129"/>
      <c r="R8" s="183" t="str">
        <f>UPPER(IF($A$2="R",IF(OR(Q8=1,Q8="a"),P6,IF(OR(Q8=2,Q8="b"),P10,"")),IF(OR(Q8=1,Q8="a"),P6,IF(OR(Q8=2,Q8="b"),P10,""))))</f>
        <v/>
      </c>
    </row>
    <row r="9" spans="1:19" ht="12" customHeight="1" x14ac:dyDescent="0.2">
      <c r="A9" s="132">
        <v>5</v>
      </c>
      <c r="B9" s="133">
        <f>VALUE([3]Setup!E2)</f>
        <v>3</v>
      </c>
      <c r="C9" s="160"/>
      <c r="D9" s="151">
        <f t="shared" si="1"/>
        <v>0</v>
      </c>
      <c r="E9" s="161">
        <v>0</v>
      </c>
      <c r="F9" s="137">
        <f>IF(NOT($G9="-"),VLOOKUP($G9,[3]DrawPrep!$A$3:$G$18,2,FALSE),"")</f>
        <v>0</v>
      </c>
      <c r="G9" s="138">
        <f>VLOOKUP($B9,[3]Setup!$G$12:$H$27,2,FALSE)</f>
        <v>3</v>
      </c>
      <c r="H9" s="139">
        <f>IF($G9&gt;0,VLOOKUP($G9,[3]DrawPrep!$A$3:$G$18,6,FALSE),0)</f>
        <v>0.5</v>
      </c>
      <c r="I9" s="140">
        <f>IF([3]Setup!$B$24="#",0,IF($G9&gt;0,VLOOKUP($G9,[3]DrawPrep!$A$3:$G$18,3,FALSE),0))</f>
        <v>3</v>
      </c>
      <c r="J9" s="141" t="str">
        <f>IF($I9&gt;0,VLOOKUP($I9,[3]DrawPrep!$C$3:$G$18,2,FALSE),"bye")</f>
        <v>ΝΙΚΟΛΟΠΟΥΛΟΥ ΝΑΤΑΛΙΑ</v>
      </c>
      <c r="K9" s="141" t="str">
        <f t="shared" si="0"/>
        <v>ΝΙΚΟΛΟΠΟΥΛΟΥ</v>
      </c>
      <c r="L9" s="142">
        <f>IF($I9&gt;0,VLOOKUP($I9,[3]DrawPrep!$C$3:$G$18,3,FALSE),"")</f>
        <v>0</v>
      </c>
      <c r="M9" s="173"/>
      <c r="N9" s="144" t="str">
        <f>UPPER(IF($A$2="R",IF(OR(M9=1,M9="a"),I9,IF(OR(M9=2,M9="b"),I10,"")),IF(OR(M9=1,M9="a"),K9,IF(OR(M9=2,M9="b"),K10,""))))</f>
        <v/>
      </c>
      <c r="O9" s="216" t="s">
        <v>18</v>
      </c>
      <c r="P9" s="146"/>
      <c r="Q9" s="145"/>
      <c r="R9" s="131"/>
    </row>
    <row r="10" spans="1:19" ht="12" customHeight="1" x14ac:dyDescent="0.2">
      <c r="A10" s="148">
        <v>6</v>
      </c>
      <c r="B10" s="149">
        <f>4-D10+4</f>
        <v>8</v>
      </c>
      <c r="C10" s="175">
        <f>IF([3]Setup!E2=3,3,4)</f>
        <v>3</v>
      </c>
      <c r="D10" s="151">
        <f t="shared" si="1"/>
        <v>0</v>
      </c>
      <c r="E10" s="152">
        <f>IF($B$2&gt;=C10,1,0)</f>
        <v>0</v>
      </c>
      <c r="F10" s="153">
        <f>IF(NOT($G10="-"),VLOOKUP($G10,[3]DrawPrep!$A$3:$G$18,2,FALSE),"")</f>
        <v>0</v>
      </c>
      <c r="G10" s="153">
        <f>IF($B$2&gt;=C10,"-",VLOOKUP($B10,[3]Setup!$G$12:$H$27,2,FALSE))</f>
        <v>10</v>
      </c>
      <c r="H10" s="154">
        <f>IF(NOT($G10="-"),VLOOKUP($G10,[3]DrawPrep!$A$3:$G$18,6,FALSE),0)</f>
        <v>0</v>
      </c>
      <c r="I10" s="154">
        <v>9</v>
      </c>
      <c r="J10" s="155" t="str">
        <f>IF($I10&gt;0,VLOOKUP($I10,[3]DrawPrep!$C$3:$G$18,2,FALSE),"bye")</f>
        <v>ΓΡΕΚΑ ΓΕΩΡΓΙΑ-ΕΙΡΗΝΗ</v>
      </c>
      <c r="K10" s="155" t="str">
        <f t="shared" si="0"/>
        <v>ΓΡΕΚΑ</v>
      </c>
      <c r="L10" s="156">
        <f>IF($I10&gt;0,VLOOKUP($I10,[3]DrawPrep!$C$3:$G$18,3,FALSE),"")</f>
        <v>0</v>
      </c>
      <c r="M10" s="157"/>
      <c r="N10" s="178"/>
      <c r="O10" s="216"/>
      <c r="P10" s="217" t="str">
        <f>UPPER(IF($A$2="R",IF(OR(O10=1,O10="a"),N9,IF(OR(O10=2,O10="b"),N11,"")),IF(OR(O10=1,O10="a"),N9,IF(OR(O10=2,O10="b"),N11,""))))</f>
        <v/>
      </c>
      <c r="Q10" s="145"/>
      <c r="R10" s="131"/>
    </row>
    <row r="11" spans="1:19" ht="12" customHeight="1" x14ac:dyDescent="0.2">
      <c r="A11" s="159">
        <v>7</v>
      </c>
      <c r="B11" s="149">
        <f>5-D11+4</f>
        <v>9</v>
      </c>
      <c r="C11" s="150">
        <v>5</v>
      </c>
      <c r="D11" s="151">
        <f t="shared" si="1"/>
        <v>0</v>
      </c>
      <c r="E11" s="152">
        <f>IF($B$2&gt;=C11,1,0)</f>
        <v>0</v>
      </c>
      <c r="F11" s="162">
        <f>IF(NOT($G11="-"),VLOOKUP($G11,[3]DrawPrep!$A$3:$G$18,2,FALSE),"")</f>
        <v>0</v>
      </c>
      <c r="G11" s="162">
        <v>4</v>
      </c>
      <c r="H11" s="163">
        <f>IF(NOT($G11="-"),VLOOKUP($G11,[3]DrawPrep!$A$3:$G$18,6,FALSE),0)</f>
        <v>0.5</v>
      </c>
      <c r="I11" s="218">
        <v>1</v>
      </c>
      <c r="J11" s="219" t="str">
        <f>IF($I11&gt;0,VLOOKUP($I11,[3]DrawPrep!$C$3:$G$18,2,FALSE),"bye")</f>
        <v>ΛΑΘΟΥΡΗ ΙΩΑΝΝΑ</v>
      </c>
      <c r="K11" s="164" t="str">
        <f t="shared" si="0"/>
        <v>ΛΑΘΟΥΡΗ</v>
      </c>
      <c r="L11" s="165">
        <f>IF($I11&gt;0,VLOOKUP($I11,[3]DrawPrep!$C$3:$G$18,3,FALSE),"")</f>
        <v>0</v>
      </c>
      <c r="M11" s="143"/>
      <c r="N11" s="144" t="str">
        <f>UPPER(IF($A$2="R",IF(OR(M11=1,M11="a"),I11,IF(OR(M11=2,M11="b"),I12,"")),IF(OR(M11=1,M11="a"),K11,IF(OR(M11=2,M11="b"),K12,""))))</f>
        <v/>
      </c>
      <c r="O11" s="216" t="s">
        <v>18</v>
      </c>
      <c r="P11" s="146"/>
      <c r="Q11" s="145"/>
      <c r="R11" s="131"/>
    </row>
    <row r="12" spans="1:19" ht="12" customHeight="1" x14ac:dyDescent="0.2">
      <c r="A12" s="166">
        <v>8</v>
      </c>
      <c r="B12" s="149">
        <f>6-D12+4</f>
        <v>10</v>
      </c>
      <c r="C12" s="160"/>
      <c r="D12" s="151">
        <f t="shared" si="1"/>
        <v>0</v>
      </c>
      <c r="E12" s="161">
        <v>0</v>
      </c>
      <c r="F12" s="167">
        <f>IF(NOT($G12="-"),VLOOKUP($G12,[3]DrawPrep!$A$3:$G$18,2,FALSE),"")</f>
        <v>0</v>
      </c>
      <c r="G12" s="179">
        <f>VLOOKUP($B12,[3]Setup!$G$12:$H$27,2,FALSE)</f>
        <v>6</v>
      </c>
      <c r="H12" s="168">
        <f>IF($G12&gt;0,VLOOKUP($G12,[3]DrawPrep!$A$3:$G$18,6,FALSE),0)</f>
        <v>0.5</v>
      </c>
      <c r="I12" s="168">
        <v>12</v>
      </c>
      <c r="J12" s="169" t="str">
        <f>IF($I12&gt;0,VLOOKUP($I12,[3]DrawPrep!$C$3:$G$18,2,FALSE),"bye")</f>
        <v>ΚΟΥΚΟΥΒΙΤΑΚΗ ΕΛΕΑΝΝΑ</v>
      </c>
      <c r="K12" s="169" t="str">
        <f t="shared" si="0"/>
        <v>ΚΟΥΚΟΥΒΙΤΑΚΗ</v>
      </c>
      <c r="L12" s="170">
        <f>IF($I12&gt;0,VLOOKUP($I12,[3]DrawPrep!$C$3:$G$18,3,FALSE),"")</f>
        <v>0</v>
      </c>
      <c r="M12" s="157"/>
      <c r="N12" s="178"/>
      <c r="O12" s="216"/>
      <c r="P12" s="146"/>
      <c r="Q12" s="129"/>
      <c r="R12" s="220" t="str">
        <f>UPPER(IF($A$2="R",IF(OR(Q12=1,Q12="a"),R8,IF(OR(Q12=2,Q12="b"),R16,"")),IF(OR(Q12=1,Q12="a"),R8,IF(OR(Q12=2,Q12="b"),R16,""))))</f>
        <v/>
      </c>
    </row>
    <row r="13" spans="1:19" ht="12" customHeight="1" x14ac:dyDescent="0.2">
      <c r="A13" s="181">
        <v>9</v>
      </c>
      <c r="B13" s="133">
        <f>VALUE([3]Setup!E3)</f>
        <v>4</v>
      </c>
      <c r="C13" s="160"/>
      <c r="D13" s="151">
        <f t="shared" si="1"/>
        <v>0</v>
      </c>
      <c r="E13" s="161">
        <v>0</v>
      </c>
      <c r="F13" s="131">
        <f>IF(NOT($G13="-"),VLOOKUP($G13,[3]DrawPrep!$A$3:$G$18,2,FALSE),"")</f>
        <v>0</v>
      </c>
      <c r="G13" s="182">
        <v>5</v>
      </c>
      <c r="H13" s="183">
        <f>IF($G13&gt;0,VLOOKUP($G13,[3]DrawPrep!$A$3:$G$18,6,FALSE),0)</f>
        <v>0.5</v>
      </c>
      <c r="I13" s="221">
        <v>2</v>
      </c>
      <c r="J13" s="185" t="str">
        <f>IF($I13&gt;0,VLOOKUP($I13,[3]DrawPrep!$C$3:$G$18,2,FALSE),"bye")</f>
        <v>ΝΑΟΥΜ ΝΕΦΕΛΗ</v>
      </c>
      <c r="K13" s="185" t="str">
        <f t="shared" si="0"/>
        <v>ΝΑΟΥΜ</v>
      </c>
      <c r="L13" s="186">
        <f>IF($I13&gt;0,VLOOKUP($I13,[3]DrawPrep!$C$3:$G$18,3,FALSE),"")</f>
        <v>0</v>
      </c>
      <c r="M13" s="143"/>
      <c r="N13" s="144" t="str">
        <f>UPPER(IF($A$2="R",IF(OR(M13=1,M13="a"),I13,IF(OR(M13=2,M13="b"),I14,"")),IF(OR(M13=1,M13="a"),K13,IF(OR(M13=2,M13="b"),K14,""))))</f>
        <v/>
      </c>
      <c r="O13" s="216" t="s">
        <v>18</v>
      </c>
      <c r="P13" s="146"/>
      <c r="Q13" s="145"/>
      <c r="R13" s="131"/>
    </row>
    <row r="14" spans="1:19" ht="12" customHeight="1" x14ac:dyDescent="0.2">
      <c r="A14" s="181">
        <v>10</v>
      </c>
      <c r="B14" s="149">
        <f>7-D14+4</f>
        <v>11</v>
      </c>
      <c r="C14" s="175">
        <f>IF([3]Setup!E2=3,4,3)</f>
        <v>4</v>
      </c>
      <c r="D14" s="151">
        <f t="shared" si="1"/>
        <v>0</v>
      </c>
      <c r="E14" s="152">
        <f>IF($B$2&gt;=C14,1,0)</f>
        <v>0</v>
      </c>
      <c r="F14" s="131">
        <f>IF(NOT($G14="-"),VLOOKUP($G14,[3]DrawPrep!$A$3:$G$18,2,FALSE),"")</f>
        <v>0</v>
      </c>
      <c r="G14" s="131">
        <f>IF($B$2&gt;=C14,"-",VLOOKUP($B14,[3]Setup!$G$12:$H$27,2,FALSE))</f>
        <v>11</v>
      </c>
      <c r="H14" s="183">
        <f>IF(NOT($G14="-"),VLOOKUP($G14,[3]DrawPrep!$A$3:$G$18,6,FALSE),0)</f>
        <v>0</v>
      </c>
      <c r="I14" s="183">
        <v>15</v>
      </c>
      <c r="J14" s="184" t="str">
        <f>IF($I14&gt;0,VLOOKUP($I14,[3]DrawPrep!$C$3:$G$18,2,FALSE),"bye")</f>
        <v>ΠΡΕΖΑΝΗ ΑΓΓΕΛΙΚΗ</v>
      </c>
      <c r="K14" s="184" t="str">
        <f t="shared" si="0"/>
        <v>ΠΡΕΖΑΝΗ</v>
      </c>
      <c r="L14" s="188">
        <f>IF($I14&gt;0,VLOOKUP($I14,[3]DrawPrep!$C$3:$G$18,3,FALSE),"")</f>
        <v>0</v>
      </c>
      <c r="M14" s="157"/>
      <c r="N14" s="178"/>
      <c r="O14" s="216"/>
      <c r="P14" s="217" t="str">
        <f>UPPER(IF($A$2="R",IF(OR(O14=1,O14="a"),N13,IF(OR(O14=2,O14="b"),N15,"")),IF(OR(O14=1,O14="a"),N13,IF(OR(O14=2,O14="b"),N15,""))))</f>
        <v/>
      </c>
      <c r="Q14" s="145"/>
      <c r="R14" s="131"/>
    </row>
    <row r="15" spans="1:19" ht="12" customHeight="1" x14ac:dyDescent="0.2">
      <c r="A15" s="159">
        <v>11</v>
      </c>
      <c r="B15" s="149">
        <f>8-D15+4</f>
        <v>12</v>
      </c>
      <c r="C15" s="160"/>
      <c r="D15" s="151">
        <f t="shared" si="1"/>
        <v>0</v>
      </c>
      <c r="E15" s="161">
        <v>0</v>
      </c>
      <c r="F15" s="162">
        <f>IF(NOT($G15="-"),VLOOKUP($G15,[3]DrawPrep!$A$3:$G$18,2,FALSE),"")</f>
        <v>0</v>
      </c>
      <c r="G15" s="162">
        <v>6</v>
      </c>
      <c r="H15" s="163">
        <f>IF($G15&gt;0,VLOOKUP($G15,[3]DrawPrep!$A$3:$G$18,6,FALSE),0)</f>
        <v>0.5</v>
      </c>
      <c r="I15" s="218">
        <v>5</v>
      </c>
      <c r="J15" s="219" t="str">
        <f>IF($I15&gt;0,VLOOKUP($I15,[3]DrawPrep!$C$3:$G$18,2,FALSE),"bye")</f>
        <v>ΣΜΥΡΛΟΓΛΟΥ ΧΡΙΣΤΙΑΝΝΑ</v>
      </c>
      <c r="K15" s="164" t="str">
        <f t="shared" si="0"/>
        <v>ΣΜΥΡΛΟΓΛΟΥ</v>
      </c>
      <c r="L15" s="165">
        <f>IF($I15&gt;0,VLOOKUP($I15,[3]DrawPrep!$C$3:$G$18,3,FALSE),"")</f>
        <v>0</v>
      </c>
      <c r="M15" s="143"/>
      <c r="N15" s="144" t="str">
        <f>UPPER(IF($A$2="R",IF(OR(M15=1,M15="a"),I15,IF(OR(M15=2,M15="b"),I16,"")),IF(OR(M15=1,M15="a"),K15,IF(OR(M15=2,M15="b"),K16,""))))</f>
        <v/>
      </c>
      <c r="O15" s="216" t="s">
        <v>18</v>
      </c>
      <c r="P15" s="146"/>
      <c r="Q15" s="145"/>
      <c r="R15" s="131"/>
    </row>
    <row r="16" spans="1:19" ht="12" customHeight="1" x14ac:dyDescent="0.2">
      <c r="A16" s="166">
        <v>12</v>
      </c>
      <c r="B16" s="149">
        <f>9-D16+4</f>
        <v>13</v>
      </c>
      <c r="C16" s="150">
        <v>6</v>
      </c>
      <c r="D16" s="151">
        <f t="shared" si="1"/>
        <v>0</v>
      </c>
      <c r="E16" s="152">
        <f>IF($B$2&gt;=C16,1,0)</f>
        <v>0</v>
      </c>
      <c r="F16" s="167">
        <f>IF(NOT($G16="-"),VLOOKUP($G16,[3]DrawPrep!$A$3:$G$18,2,FALSE),"")</f>
        <v>0</v>
      </c>
      <c r="G16" s="167">
        <f>IF($B$2&gt;=C16,"-",VLOOKUP($B16,[3]Setup!$G$12:$H$27,2,FALSE))</f>
        <v>12</v>
      </c>
      <c r="H16" s="168">
        <f>IF(NOT($G16="-"),VLOOKUP($G16,[3]DrawPrep!$A$3:$G$18,6,FALSE),0)</f>
        <v>0</v>
      </c>
      <c r="I16" s="168">
        <v>10</v>
      </c>
      <c r="J16" s="169" t="str">
        <f>IF($I16&gt;0,VLOOKUP($I16,[3]DrawPrep!$C$3:$G$18,2,FALSE),"bye")</f>
        <v>ΓΡΙΒΑ ΒΑΡΒΑΡΑ</v>
      </c>
      <c r="K16" s="169" t="str">
        <f t="shared" si="0"/>
        <v>ΓΡΙΒΑ</v>
      </c>
      <c r="L16" s="170">
        <f>IF($I16&gt;0,VLOOKUP($I16,[3]DrawPrep!$C$3:$G$18,3,FALSE),"")</f>
        <v>0</v>
      </c>
      <c r="M16" s="191"/>
      <c r="N16" s="178"/>
      <c r="O16" s="216"/>
      <c r="P16" s="146"/>
      <c r="Q16" s="129"/>
      <c r="R16" s="183" t="str">
        <f>UPPER(IF($A$2="R",IF(OR(Q16=1,Q16="a"),P14,IF(OR(Q16=2,Q16="b"),P18,"")),IF(OR(Q16=1,Q16="a"),P14,IF(OR(Q16=2,Q16="b"),P18,""))))</f>
        <v/>
      </c>
    </row>
    <row r="17" spans="1:19" ht="12" customHeight="1" x14ac:dyDescent="0.2">
      <c r="A17" s="181">
        <v>13</v>
      </c>
      <c r="B17" s="149">
        <f>10-D17+4</f>
        <v>14</v>
      </c>
      <c r="C17" s="160"/>
      <c r="D17" s="151">
        <f t="shared" si="1"/>
        <v>0</v>
      </c>
      <c r="E17" s="161">
        <v>0</v>
      </c>
      <c r="F17" s="131">
        <f>IF(NOT($G17="-"),VLOOKUP($G17,[3]DrawPrep!$A$3:$G$18,2,FALSE),"")</f>
        <v>0</v>
      </c>
      <c r="G17" s="131">
        <f>VLOOKUP($B17,[3]Setup!$G$12:$H$27,2,FALSE)</f>
        <v>16</v>
      </c>
      <c r="H17" s="183">
        <f>IF($G17&gt;0,VLOOKUP($G17,[3]DrawPrep!$A$3:$G$18,6,FALSE),0)</f>
        <v>0</v>
      </c>
      <c r="I17" s="183">
        <v>13</v>
      </c>
      <c r="J17" s="184" t="str">
        <f>IF($I17&gt;0,VLOOKUP($I17,[3]DrawPrep!$C$3:$G$18,2,FALSE),"bye")</f>
        <v>ΚΩΤΣΑΚΗ ΑΙΚΑΤΕΡΙΝΗ</v>
      </c>
      <c r="K17" s="184" t="str">
        <f t="shared" si="0"/>
        <v>ΚΩΤΣΑΚΗ</v>
      </c>
      <c r="L17" s="188">
        <f>IF($I17&gt;0,VLOOKUP($I17,[3]DrawPrep!$C$3:$G$18,3,FALSE),"")</f>
        <v>0</v>
      </c>
      <c r="M17" s="143"/>
      <c r="N17" s="144" t="str">
        <f>UPPER(IF($A$2="R",IF(OR(M17=1,M17="a"),I17,IF(OR(M17=2,M17="b"),I18,"")),IF(OR(M17=1,M17="a"),K17,IF(OR(M17=2,M17="b"),K18,""))))</f>
        <v/>
      </c>
      <c r="O17" s="216" t="s">
        <v>18</v>
      </c>
      <c r="P17" s="146"/>
      <c r="Q17" s="145"/>
      <c r="R17" s="131"/>
    </row>
    <row r="18" spans="1:19" ht="12" customHeight="1" x14ac:dyDescent="0.2">
      <c r="A18" s="181">
        <v>14</v>
      </c>
      <c r="B18" s="149">
        <f>11-D18+4</f>
        <v>15</v>
      </c>
      <c r="C18" s="150">
        <v>8</v>
      </c>
      <c r="D18" s="151">
        <f t="shared" si="1"/>
        <v>0</v>
      </c>
      <c r="E18" s="152">
        <f>IF($B$2&gt;=C18,1,0)</f>
        <v>0</v>
      </c>
      <c r="F18" s="131">
        <f>IF(NOT($G18="-"),VLOOKUP($G18,[3]DrawPrep!$A$3:$G$18,2,FALSE),"")</f>
        <v>0</v>
      </c>
      <c r="G18" s="131">
        <f>IF($B$2&gt;=C18,"-",VLOOKUP($B18,[3]Setup!$G$12:$H$27,2,FALSE))</f>
        <v>13</v>
      </c>
      <c r="H18" s="183">
        <f>IF(NOT($G18="-"),VLOOKUP($G18,[3]DrawPrep!$A$3:$G$18,6,FALSE),0)</f>
        <v>0</v>
      </c>
      <c r="I18" s="183">
        <v>16</v>
      </c>
      <c r="J18" s="184" t="str">
        <f>IF($I18&gt;0,VLOOKUP($I18,[3]DrawPrep!$C$3:$G$18,2,FALSE),"bye")</f>
        <v>ΤΣΑΔΑΡΗ ΙΩΑΝΝΑ</v>
      </c>
      <c r="K18" s="184" t="str">
        <f t="shared" si="0"/>
        <v>ΤΣΑΔΑΡΗ</v>
      </c>
      <c r="L18" s="188">
        <f>IF($I18&gt;0,VLOOKUP($I18,[3]DrawPrep!$C$3:$G$18,3,FALSE),"")</f>
        <v>0</v>
      </c>
      <c r="M18" s="157"/>
      <c r="N18" s="178"/>
      <c r="O18" s="216"/>
      <c r="P18" s="217" t="str">
        <f>UPPER(IF($A$2="R",IF(OR(O18=1,O18="a"),N17,IF(OR(O18=2,O18="b"),N19,"")),IF(OR(O18=1,O18="a"),N17,IF(OR(O18=2,O18="b"),N19,""))))</f>
        <v/>
      </c>
      <c r="Q18" s="145"/>
      <c r="R18" s="146"/>
    </row>
    <row r="19" spans="1:19" ht="12" customHeight="1" x14ac:dyDescent="0.2">
      <c r="A19" s="159">
        <v>15</v>
      </c>
      <c r="B19" s="149">
        <f>12-D19+4</f>
        <v>16</v>
      </c>
      <c r="C19" s="150">
        <v>2</v>
      </c>
      <c r="D19" s="151">
        <f t="shared" si="1"/>
        <v>0</v>
      </c>
      <c r="E19" s="152">
        <f>IF($B$2&gt;=C19,1,0)</f>
        <v>0</v>
      </c>
      <c r="F19" s="162">
        <f>IF(NOT($G19="-"),VLOOKUP($G19,[3]DrawPrep!$A$3:$G$18,2,FALSE),"")</f>
        <v>0</v>
      </c>
      <c r="G19" s="162">
        <f>IF($B$2&gt;=C19,"-",VLOOKUP($B19,[3]Setup!$G$12:$H$27,2,FALSE))</f>
        <v>15</v>
      </c>
      <c r="H19" s="163">
        <f>IF(NOT($G19="-"),VLOOKUP($G19,[3]DrawPrep!$A$3:$G$18,6,FALSE),0)</f>
        <v>0</v>
      </c>
      <c r="I19" s="163">
        <v>7</v>
      </c>
      <c r="J19" s="164" t="str">
        <f>IF($I19&gt;0,VLOOKUP($I19,[3]DrawPrep!$C$3:$G$18,2,FALSE),"bye")</f>
        <v>ΑΔΑΛΟΓΛΟΥ ΜΑΓΔΑΛΗΝΗ</v>
      </c>
      <c r="K19" s="164" t="str">
        <f t="shared" si="0"/>
        <v>ΑΔΑΛΟΓΛΟΥ</v>
      </c>
      <c r="L19" s="165">
        <f>IF($I19&gt;0,VLOOKUP($I19,[3]DrawPrep!$C$3:$G$18,3,FALSE),"")</f>
        <v>0</v>
      </c>
      <c r="M19" s="143"/>
      <c r="N19" s="144" t="str">
        <f>UPPER(IF($A$2="R",IF(OR(M19=1,M19="a"),I19,IF(OR(M19=2,M19="b"),I20,"")),IF(OR(M19=1,M19="a"),K19,IF(OR(M19=2,M19="b"),K20,""))))</f>
        <v/>
      </c>
      <c r="O19" s="216" t="s">
        <v>18</v>
      </c>
      <c r="P19" s="146"/>
      <c r="Q19" s="145"/>
      <c r="R19" s="146"/>
    </row>
    <row r="20" spans="1:19" ht="12" customHeight="1" x14ac:dyDescent="0.2">
      <c r="A20" s="166">
        <v>16</v>
      </c>
      <c r="B20" s="133">
        <v>2</v>
      </c>
      <c r="C20" s="160"/>
      <c r="D20" s="151">
        <f t="shared" si="1"/>
        <v>0</v>
      </c>
      <c r="E20" s="161">
        <v>0</v>
      </c>
      <c r="F20" s="167">
        <f>IF(NOT($G20="-"),VLOOKUP($G20,[3]DrawPrep!$A$3:$G$18,2,FALSE),"")</f>
        <v>0</v>
      </c>
      <c r="G20" s="193">
        <f>VLOOKUP($B20,[3]Setup!$G$12:$H$27,2,FALSE)</f>
        <v>2</v>
      </c>
      <c r="H20" s="168">
        <f>IF($G20&gt;0,VLOOKUP($G20,[3]DrawPrep!$A$3:$G$18,6,FALSE),0)</f>
        <v>0.5</v>
      </c>
      <c r="I20" s="168">
        <v>14</v>
      </c>
      <c r="J20" s="169" t="str">
        <f>IF($I20&gt;0,VLOOKUP($I20,[3]DrawPrep!$C$3:$G$18,2,FALSE),"bye")</f>
        <v>ΛΟΥΠΕΣΗ ΙΛΙΑΝΑ</v>
      </c>
      <c r="K20" s="190" t="str">
        <f t="shared" si="0"/>
        <v>ΛΟΥΠΕΣΗ</v>
      </c>
      <c r="L20" s="194">
        <f>IF($I20&gt;0,VLOOKUP($I20,[3]DrawPrep!$C$3:$G$18,3,FALSE),"")</f>
        <v>0</v>
      </c>
      <c r="M20" s="157"/>
      <c r="N20" s="178"/>
      <c r="O20" s="145"/>
      <c r="P20" s="146"/>
      <c r="Q20" s="145"/>
      <c r="R20" s="146"/>
      <c r="S20" s="129"/>
    </row>
    <row r="21" spans="1:19" x14ac:dyDescent="0.2">
      <c r="N21" s="196" t="s">
        <v>10</v>
      </c>
      <c r="P21" s="196" t="s">
        <v>10</v>
      </c>
      <c r="R21" s="196" t="s">
        <v>10</v>
      </c>
    </row>
    <row r="22" spans="1:19" x14ac:dyDescent="0.2">
      <c r="G22" s="197"/>
      <c r="H22" s="197"/>
      <c r="P22" s="146"/>
    </row>
    <row r="23" spans="1:19" x14ac:dyDescent="0.2">
      <c r="G23" s="131"/>
      <c r="H23" s="131"/>
      <c r="P23" s="198"/>
    </row>
    <row r="24" spans="1:19" s="199" customFormat="1" ht="9.75" x14ac:dyDescent="0.2">
      <c r="C24" s="200"/>
      <c r="D24" s="201"/>
      <c r="E24" s="201"/>
      <c r="G24" s="200"/>
      <c r="H24" s="200"/>
      <c r="I24" s="201"/>
      <c r="J24" s="202" t="s">
        <v>11</v>
      </c>
      <c r="K24" s="203"/>
      <c r="M24" s="204"/>
      <c r="O24" s="205"/>
      <c r="Q24" s="205"/>
      <c r="R24" s="206"/>
      <c r="S24" s="207"/>
    </row>
    <row r="25" spans="1:19" s="199" customFormat="1" ht="9.75" x14ac:dyDescent="0.2">
      <c r="C25" s="200"/>
      <c r="D25" s="201"/>
      <c r="E25" s="201"/>
      <c r="G25" s="200"/>
      <c r="H25" s="200"/>
      <c r="I25" s="201"/>
      <c r="J25" s="208" t="str">
        <f>"1. " &amp; IF([3]Setup!B19&gt;0,LEFT([3]DrawPrep!D3,FIND(" ",[3]DrawPrep!D3)+1),"")</f>
        <v>1. ΤΣΙΑΡΑ Ε</v>
      </c>
      <c r="K25" s="206"/>
      <c r="M25" s="209"/>
      <c r="N25" s="209"/>
      <c r="O25" s="205"/>
      <c r="Q25" s="205"/>
      <c r="R25" s="206"/>
      <c r="S25" s="207"/>
    </row>
    <row r="26" spans="1:19" s="199" customFormat="1" ht="9.75" x14ac:dyDescent="0.2">
      <c r="C26" s="200"/>
      <c r="D26" s="201"/>
      <c r="E26" s="201"/>
      <c r="G26" s="200"/>
      <c r="H26" s="200"/>
      <c r="I26" s="201"/>
      <c r="J26" s="208" t="str">
        <f>"2. " &amp; IF([3]Setup!B19&gt;1,LEFT([3]DrawPrep!D4,FIND(" ",[3]DrawPrep!D4)+1),"")</f>
        <v>2. ΠΑΠΑΔΑΚΗ Α</v>
      </c>
      <c r="K26" s="206"/>
      <c r="M26" s="204"/>
      <c r="O26" s="205"/>
      <c r="Q26" s="205"/>
      <c r="R26" s="210" t="s">
        <v>12</v>
      </c>
      <c r="S26" s="207"/>
    </row>
    <row r="27" spans="1:19" s="199" customFormat="1" ht="9.75" x14ac:dyDescent="0.2">
      <c r="C27" s="200"/>
      <c r="D27" s="201"/>
      <c r="E27" s="201"/>
      <c r="G27" s="200"/>
      <c r="H27" s="200"/>
      <c r="I27" s="201"/>
      <c r="J27" s="208" t="str">
        <f>"3. " &amp; IF([3]Setup!B19&gt;2,LEFT([3]DrawPrep!D5,FIND(" ",[3]DrawPrep!D5)+1),"")</f>
        <v>3. ΝΙΚΟΛΟΠΟΥΛΟΥ Ν</v>
      </c>
      <c r="K27" s="206"/>
      <c r="M27" s="204"/>
      <c r="O27" s="205"/>
      <c r="Q27" s="205"/>
      <c r="R27" s="308" t="str">
        <f>[3]Setup!B10</f>
        <v>Τ.Ταμπόση</v>
      </c>
      <c r="S27" s="308"/>
    </row>
    <row r="28" spans="1:19" s="199" customFormat="1" ht="9.75" x14ac:dyDescent="0.2">
      <c r="C28" s="200"/>
      <c r="D28" s="201"/>
      <c r="E28" s="201"/>
      <c r="G28" s="200"/>
      <c r="H28" s="200"/>
      <c r="I28" s="201"/>
      <c r="J28" s="208" t="str">
        <f>"4. " &amp; IF([3]Setup!B19&gt;3,LEFT([3]DrawPrep!D6,FIND(" ",[3]DrawPrep!D6)+1),"")</f>
        <v>4. ΛΑΘΟΥΡΗ Ι</v>
      </c>
      <c r="K28" s="206"/>
      <c r="M28" s="204"/>
      <c r="O28" s="205"/>
      <c r="Q28" s="205"/>
      <c r="R28" s="206"/>
      <c r="S28" s="207"/>
    </row>
    <row r="39" spans="10:10" x14ac:dyDescent="0.2">
      <c r="J39" s="211"/>
    </row>
    <row r="40" spans="10:10" x14ac:dyDescent="0.2">
      <c r="J40" s="212" t="s">
        <v>13</v>
      </c>
    </row>
    <row r="41" spans="10:10" x14ac:dyDescent="0.2">
      <c r="J41" s="213" t="str">
        <f>IF([3]Setup!$B$19&gt;0,LEFT([3]DrawPrep!D3,FIND(" ",[3]DrawPrep!D3)-1))</f>
        <v>ΤΣΙΑΡΑ</v>
      </c>
    </row>
    <row r="42" spans="10:10" x14ac:dyDescent="0.2">
      <c r="J42" s="213" t="str">
        <f>IF([3]Setup!$B$19&gt;1,LEFT([3]DrawPrep!D4,FIND(" ",[3]DrawPrep!D4)-1))</f>
        <v>ΠΑΠΑΔΑΚΗ</v>
      </c>
    </row>
    <row r="43" spans="10:10" x14ac:dyDescent="0.2">
      <c r="J43" s="213" t="str">
        <f>IF([3]Setup!$B$19&gt;2,LEFT([3]DrawPrep!D5,FIND(" ",[3]DrawPrep!D5)-1))</f>
        <v>ΝΙΚΟΛΟΠΟΥΛΟΥ</v>
      </c>
    </row>
    <row r="44" spans="10:10" x14ac:dyDescent="0.2">
      <c r="J44" s="213" t="str">
        <f>IF([3]Setup!$B$19&gt;3,LEFT([3]DrawPrep!D6,FIND(" ",[3]DrawPrep!D6)-1))</f>
        <v>ΛΑΘΟΥΡΗ</v>
      </c>
    </row>
    <row r="45" spans="10:10" ht="12" x14ac:dyDescent="0.2">
      <c r="J45" s="214"/>
    </row>
    <row r="46" spans="10:10" ht="12" x14ac:dyDescent="0.2">
      <c r="J46" s="215"/>
    </row>
    <row r="47" spans="10:10" ht="12" x14ac:dyDescent="0.2">
      <c r="J47" s="215"/>
    </row>
    <row r="48" spans="10:10" ht="12" x14ac:dyDescent="0.2">
      <c r="J48" s="215"/>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8" priority="2">
      <formula>MATCH(N5,$J$41:$J$44,0)</formula>
    </cfRule>
  </conditionalFormatting>
  <conditionalFormatting sqref="R12">
    <cfRule type="expression" dxfId="67"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macro="[3]!Sheet2pdf">
                <anchor moveWithCells="1" sizeWithCells="1">
                  <from>
                    <xdr:col>19</xdr:col>
                    <xdr:colOff>76200</xdr:colOff>
                    <xdr:row>1</xdr:row>
                    <xdr:rowOff>19050</xdr:rowOff>
                  </from>
                  <to>
                    <xdr:col>22</xdr:col>
                    <xdr:colOff>219075</xdr:colOff>
                    <xdr:row>3</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S48"/>
  <sheetViews>
    <sheetView showGridLines="0" showZeros="0" zoomScale="115" zoomScaleNormal="115" workbookViewId="0">
      <pane ySplit="1" topLeftCell="A2" activePane="bottomLeft" state="frozen"/>
      <selection pane="bottomLeft" activeCell="J8" sqref="J8"/>
    </sheetView>
  </sheetViews>
  <sheetFormatPr defaultColWidth="5.140625" defaultRowHeight="11.25" x14ac:dyDescent="0.2"/>
  <cols>
    <col min="1" max="1" width="2.42578125" style="114" bestFit="1" customWidth="1"/>
    <col min="2" max="2" width="2.42578125" style="114" hidden="1" customWidth="1"/>
    <col min="3" max="3" width="6" style="117" hidden="1" customWidth="1"/>
    <col min="4" max="4" width="5.28515625" style="118" hidden="1" customWidth="1"/>
    <col min="5" max="5" width="4.7109375" style="118" hidden="1" customWidth="1"/>
    <col min="6" max="6" width="3" style="114" hidden="1" customWidth="1"/>
    <col min="7" max="7" width="3.42578125" style="117" bestFit="1" customWidth="1"/>
    <col min="8" max="8" width="3.28515625" style="117" bestFit="1" customWidth="1"/>
    <col min="9" max="9" width="4.7109375" style="119" bestFit="1" customWidth="1"/>
    <col min="10" max="10" width="33.140625" style="114" customWidth="1"/>
    <col min="11" max="11" width="20.5703125" style="114" hidden="1" customWidth="1"/>
    <col min="12" max="12" width="6" style="114" customWidth="1"/>
    <col min="13" max="13" width="1.42578125" style="195" bestFit="1" customWidth="1"/>
    <col min="14" max="14" width="14.140625" style="114" bestFit="1" customWidth="1"/>
    <col min="15" max="15" width="1.42578125" style="147" bestFit="1" customWidth="1"/>
    <col min="16" max="16" width="14.140625" style="114" bestFit="1" customWidth="1"/>
    <col min="17" max="17" width="1.42578125" style="147" bestFit="1" customWidth="1"/>
    <col min="18" max="18" width="14.140625" style="198" bestFit="1" customWidth="1"/>
    <col min="19" max="19" width="0.85546875" style="145" customWidth="1"/>
    <col min="20" max="16384" width="5.140625" style="114"/>
  </cols>
  <sheetData>
    <row r="1" spans="1:19" s="110" customFormat="1" ht="16.5" x14ac:dyDescent="0.2">
      <c r="A1" s="306" t="str">
        <f>[4]Setup!B3 &amp; ", " &amp; [4]Setup!B4 &amp; ", " &amp; [4]Setup!B6 &amp; ", " &amp; [4]Setup!B8 &amp; "-" &amp; [4]Setup!B9</f>
        <v>Η Ένωση, ΟΡΕΝ MASTERS, ΟΑ ΑΘΗΝΩΝ, 14-22 Νοε</v>
      </c>
      <c r="B1" s="306"/>
      <c r="C1" s="306"/>
      <c r="D1" s="306"/>
      <c r="E1" s="306"/>
      <c r="F1" s="306"/>
      <c r="G1" s="306"/>
      <c r="H1" s="306"/>
      <c r="I1" s="306"/>
      <c r="J1" s="306"/>
      <c r="K1" s="306"/>
      <c r="L1" s="306"/>
      <c r="M1" s="306"/>
      <c r="N1" s="306"/>
      <c r="O1" s="306"/>
      <c r="P1" s="306"/>
      <c r="Q1" s="107"/>
      <c r="R1" s="108" t="str">
        <f>[4]Setup!B7</f>
        <v>w md</v>
      </c>
      <c r="S1" s="109"/>
    </row>
    <row r="2" spans="1:19" x14ac:dyDescent="0.2">
      <c r="A2" s="111"/>
      <c r="B2" s="112">
        <f>[4]Setup!$B$18</f>
        <v>0</v>
      </c>
      <c r="C2" s="112"/>
      <c r="D2" s="113"/>
      <c r="E2" s="113"/>
      <c r="G2" s="115"/>
      <c r="H2" s="115"/>
      <c r="I2" s="115" t="s">
        <v>14</v>
      </c>
      <c r="J2" s="115"/>
      <c r="K2" s="115"/>
      <c r="L2" s="115"/>
      <c r="M2" s="115"/>
      <c r="N2" s="115" t="s">
        <v>15</v>
      </c>
      <c r="O2" s="115"/>
      <c r="P2" s="115" t="s">
        <v>16</v>
      </c>
      <c r="Q2" s="115"/>
      <c r="R2" s="115" t="s">
        <v>17</v>
      </c>
      <c r="S2" s="116"/>
    </row>
    <row r="3" spans="1:19" x14ac:dyDescent="0.2">
      <c r="J3" s="307">
        <v>16</v>
      </c>
      <c r="K3" s="307"/>
      <c r="L3" s="307"/>
      <c r="M3" s="120"/>
      <c r="N3" s="121">
        <v>8</v>
      </c>
      <c r="O3" s="122"/>
      <c r="P3" s="121">
        <v>4</v>
      </c>
      <c r="Q3" s="122"/>
      <c r="R3" s="123">
        <v>2</v>
      </c>
      <c r="S3" s="124"/>
    </row>
    <row r="4" spans="1:19" s="117" customFormat="1" x14ac:dyDescent="0.2">
      <c r="A4" s="125" t="s">
        <v>0</v>
      </c>
      <c r="B4" s="126"/>
      <c r="C4" s="127" t="s">
        <v>1</v>
      </c>
      <c r="D4" s="127" t="s">
        <v>2</v>
      </c>
      <c r="E4" s="127" t="s">
        <v>3</v>
      </c>
      <c r="F4" s="125" t="s">
        <v>4</v>
      </c>
      <c r="G4" s="125" t="s">
        <v>5</v>
      </c>
      <c r="H4" s="125" t="s">
        <v>6</v>
      </c>
      <c r="I4" s="125" t="s">
        <v>7</v>
      </c>
      <c r="J4" s="128" t="s">
        <v>8</v>
      </c>
      <c r="K4" s="127" t="s">
        <v>9</v>
      </c>
      <c r="L4" s="128"/>
      <c r="M4" s="129"/>
      <c r="O4" s="130"/>
      <c r="Q4" s="130"/>
      <c r="R4" s="131"/>
      <c r="S4" s="112"/>
    </row>
    <row r="5" spans="1:19" ht="12" customHeight="1" x14ac:dyDescent="0.2">
      <c r="A5" s="132">
        <v>1</v>
      </c>
      <c r="B5" s="133">
        <v>1</v>
      </c>
      <c r="C5" s="134"/>
      <c r="D5" s="135"/>
      <c r="E5" s="136">
        <v>0</v>
      </c>
      <c r="F5" s="137">
        <f>IF(NOT($G5="-"),VLOOKUP($G5,[4]DrawPrep!$A$3:$G$18,2,FALSE),"")</f>
        <v>0</v>
      </c>
      <c r="G5" s="138">
        <f>VLOOKUP($B5,[4]Setup!$G$12:$H$27,2,FALSE)</f>
        <v>1</v>
      </c>
      <c r="H5" s="139">
        <f>IF($G5&gt;0,VLOOKUP($G5,[4]DrawPrep!$A$3:$G$18,6,FALSE),0)</f>
        <v>18</v>
      </c>
      <c r="I5" s="140">
        <f>IF([4]Setup!$B$24="#",0,IF($G5&gt;0,VLOOKUP($G5,[4]DrawPrep!$A$3:$G$18,3,FALSE),0))</f>
        <v>1</v>
      </c>
      <c r="J5" s="141" t="str">
        <f>IF($I5&gt;0,VLOOKUP($I5,[4]DrawPrep!$C$3:$G$18,2,FALSE),"bye")</f>
        <v>ΧΡΙΣΤΟΦΗ ΕΛΕΝΗ</v>
      </c>
      <c r="K5" s="141" t="str">
        <f>IF(NOT(I5&gt;0),"", IF(ISERROR(FIND("-",J5)), LEFT(J5,FIND(" ",J5)-1), IF(FIND("-",J5)&gt;FIND(" ",J5),LEFT(J5,FIND(" ",J5)-1), LEFT(J5,FIND("-",J5)-1) )))</f>
        <v>ΧΡΙΣΤΟΦΗ</v>
      </c>
      <c r="L5" s="142">
        <f>IF($I5&gt;0,VLOOKUP($I5,[4]DrawPrep!$C$3:$G$18,3,FALSE),"")</f>
        <v>0</v>
      </c>
      <c r="M5" s="143"/>
      <c r="N5" s="144" t="str">
        <f>UPPER(IF($A$2="R",IF(OR(M5=1,M5="a"),I5,IF(OR(M5=2,M5="b"),I6,"")),IF(OR(M5=1,M5="1"),K5,IF(OR(M5=2,M5="b"),K6,""))))</f>
        <v/>
      </c>
      <c r="O5" s="145"/>
      <c r="P5" s="146"/>
      <c r="R5" s="146"/>
    </row>
    <row r="6" spans="1:19" ht="12" customHeight="1" x14ac:dyDescent="0.2">
      <c r="A6" s="148">
        <v>2</v>
      </c>
      <c r="B6" s="149">
        <f>1-D6+4</f>
        <v>5</v>
      </c>
      <c r="C6" s="150">
        <v>1</v>
      </c>
      <c r="D6" s="151">
        <f>E6</f>
        <v>0</v>
      </c>
      <c r="E6" s="152">
        <f>IF($B$2&gt;=C6,1,0)</f>
        <v>0</v>
      </c>
      <c r="F6" s="153">
        <f>IF(NOT($G6="-"),VLOOKUP($G6,[4]DrawPrep!$A$3:$G$18,2,FALSE),"")</f>
        <v>0</v>
      </c>
      <c r="G6" s="153">
        <f>IF($B$2&gt;=C6,"-",VLOOKUP($B6,[4]Setup!$G$12:$H$27,2,FALSE))</f>
        <v>16</v>
      </c>
      <c r="H6" s="154">
        <f>IF(NOT($G6="-"),VLOOKUP($G6,[4]DrawPrep!$A$3:$G$18,6,FALSE),0)</f>
        <v>0</v>
      </c>
      <c r="I6" s="154">
        <f>IF([4]Setup!$B$24="#",0,IF(NOT($G6="-"),VLOOKUP($G6,[4]DrawPrep!$A$3:$G$18,3,FALSE),0))</f>
        <v>15</v>
      </c>
      <c r="J6" s="155" t="str">
        <f>IF($I6&gt;0,VLOOKUP($I6,[4]DrawPrep!$C$3:$G$18,2,FALSE),"bye")</f>
        <v>Q</v>
      </c>
      <c r="K6" s="155" t="e">
        <f t="shared" ref="K6:K20" si="0">IF(NOT(I6&gt;0),"", IF(ISERROR(FIND("-",J6)), LEFT(J6,FIND(" ",J6)-1), IF(FIND("-",J6)&gt;FIND(" ",J6),LEFT(J6,FIND(" ",J6)-1), LEFT(J6,FIND("-",J6)-1) )))</f>
        <v>#VALUE!</v>
      </c>
      <c r="L6" s="156">
        <f>IF($I6&gt;0,VLOOKUP($I6,[4]DrawPrep!$C$3:$G$18,3,FALSE),"")</f>
        <v>0</v>
      </c>
      <c r="M6" s="157"/>
      <c r="N6" s="158"/>
      <c r="O6" s="143"/>
      <c r="P6" s="144" t="str">
        <f>UPPER(IF($A$2="R",IF(OR(O6=1,O6="a"),N5,IF(OR(O6=2,O6="b"),N7,"")),IF(OR(O6=1,O6="a"),N5,IF(OR(O6=2,O6="b"),N7,""))))</f>
        <v/>
      </c>
      <c r="Q6" s="145"/>
      <c r="R6" s="146"/>
    </row>
    <row r="7" spans="1:19" ht="12" customHeight="1" x14ac:dyDescent="0.2">
      <c r="A7" s="159">
        <v>3</v>
      </c>
      <c r="B7" s="149">
        <f>2-D7+4</f>
        <v>6</v>
      </c>
      <c r="C7" s="160"/>
      <c r="D7" s="151">
        <f t="shared" ref="D7:D20" si="1">D6+E7</f>
        <v>0</v>
      </c>
      <c r="E7" s="161">
        <v>0</v>
      </c>
      <c r="F7" s="162">
        <f>IF(NOT($G7="-"),VLOOKUP($G7,[4]DrawPrep!$A$3:$G$18,2,FALSE),"")</f>
        <v>0</v>
      </c>
      <c r="G7" s="162">
        <f>VLOOKUP($B7,[4]Setup!$G$12:$H$27,2,FALSE)</f>
        <v>8</v>
      </c>
      <c r="H7" s="163">
        <f>IF($G7&gt;0,VLOOKUP($G7,[4]DrawPrep!$A$3:$G$18,6,FALSE),0)</f>
        <v>0.5</v>
      </c>
      <c r="I7" s="163">
        <v>11</v>
      </c>
      <c r="J7" s="164" t="str">
        <f>IF($I7&gt;0,VLOOKUP($I7,[4]DrawPrep!$C$3:$G$18,2,FALSE),"bye")</f>
        <v>Q</v>
      </c>
      <c r="K7" s="164" t="e">
        <f t="shared" si="0"/>
        <v>#VALUE!</v>
      </c>
      <c r="L7" s="165">
        <f>IF($I7&gt;0,VLOOKUP($I7,[4]DrawPrep!$C$3:$G$18,3,FALSE),"")</f>
        <v>0</v>
      </c>
      <c r="M7" s="143"/>
      <c r="N7" s="144" t="str">
        <f>UPPER(IF($A$2="R",IF(OR(M7=1,M7="a"),I7,IF(OR(M7=2,M7="b"),I8,"")),IF(OR(M7=1,M7="a"),K7,IF(OR(M7=2,M7="b"),K8,""))))</f>
        <v/>
      </c>
      <c r="O7" s="157"/>
      <c r="P7" s="158"/>
      <c r="Q7" s="145"/>
      <c r="R7" s="146"/>
    </row>
    <row r="8" spans="1:19" ht="12" customHeight="1" x14ac:dyDescent="0.2">
      <c r="A8" s="166">
        <v>4</v>
      </c>
      <c r="B8" s="149">
        <f>3-D8+4</f>
        <v>7</v>
      </c>
      <c r="C8" s="150">
        <v>7</v>
      </c>
      <c r="D8" s="151">
        <f t="shared" si="1"/>
        <v>0</v>
      </c>
      <c r="E8" s="152">
        <f>IF($B$2&gt;=C8,1,0)</f>
        <v>0</v>
      </c>
      <c r="F8" s="167">
        <f>IF(NOT($G8="-"),VLOOKUP($G8,[4]DrawPrep!$A$3:$G$18,2,FALSE),"")</f>
        <v>0</v>
      </c>
      <c r="G8" s="167">
        <f>IF($B$2&gt;=C8,"-",VLOOKUP($B8,[4]Setup!$G$12:$H$27,2,FALSE))</f>
        <v>9</v>
      </c>
      <c r="H8" s="168">
        <f>IF(NOT($G8="-"),VLOOKUP($G8,[4]DrawPrep!$A$3:$G$18,6,FALSE),0)</f>
        <v>0</v>
      </c>
      <c r="I8" s="168">
        <f>IF([4]Setup!$B$24="#",0,IF(NOT($G8="-"),VLOOKUP($G8,[4]DrawPrep!$A$3:$G$18,3,FALSE),0))</f>
        <v>13</v>
      </c>
      <c r="J8" s="169" t="str">
        <f>IF($I8&gt;0,VLOOKUP($I8,[4]DrawPrep!$C$3:$G$18,2,FALSE),"bye")</f>
        <v>Q</v>
      </c>
      <c r="K8" s="169" t="e">
        <f t="shared" si="0"/>
        <v>#VALUE!</v>
      </c>
      <c r="L8" s="170">
        <f>IF($I8&gt;0,VLOOKUP($I8,[4]DrawPrep!$C$3:$G$18,3,FALSE),"")</f>
        <v>0</v>
      </c>
      <c r="M8" s="157"/>
      <c r="N8" s="118"/>
      <c r="O8" s="145"/>
      <c r="P8" s="171"/>
      <c r="Q8" s="172"/>
      <c r="R8" s="154" t="str">
        <f>UPPER(IF($A$2="R",IF(OR(Q8=1,Q8="a"),P6,IF(OR(Q8=2,Q8="b"),P10,"")),IF(OR(Q8=1,Q8="a"),P6,IF(OR(Q8=2,Q8="b"),P10,""))))</f>
        <v/>
      </c>
    </row>
    <row r="9" spans="1:19" ht="12" customHeight="1" x14ac:dyDescent="0.2">
      <c r="A9" s="132">
        <v>5</v>
      </c>
      <c r="B9" s="133">
        <f>VALUE([4]Setup!E2)</f>
        <v>4</v>
      </c>
      <c r="C9" s="160"/>
      <c r="D9" s="151">
        <f t="shared" si="1"/>
        <v>0</v>
      </c>
      <c r="E9" s="161">
        <v>0</v>
      </c>
      <c r="F9" s="137">
        <f>IF(NOT($G9="-"),VLOOKUP($G9,[4]DrawPrep!$A$3:$G$18,2,FALSE),"")</f>
        <v>0</v>
      </c>
      <c r="G9" s="138">
        <f>VLOOKUP($B9,[4]Setup!$G$12:$H$27,2,FALSE)</f>
        <v>4</v>
      </c>
      <c r="H9" s="139">
        <f>IF($G9&gt;0,VLOOKUP($G9,[4]DrawPrep!$A$3:$G$18,6,FALSE),0)</f>
        <v>5</v>
      </c>
      <c r="I9" s="140">
        <f>IF([4]Setup!$B$24="#",0,IF($G9&gt;0,VLOOKUP($G9,[4]DrawPrep!$A$3:$G$18,3,FALSE),0))</f>
        <v>4</v>
      </c>
      <c r="J9" s="141" t="str">
        <f>IF($I9&gt;0,VLOOKUP($I9,[4]DrawPrep!$C$3:$G$18,2,FALSE),"bye")</f>
        <v>ΚΑΡΒΟΥΝΗ ΒΑΣΙΛΙΚΗ</v>
      </c>
      <c r="K9" s="141" t="str">
        <f t="shared" si="0"/>
        <v>ΚΑΡΒΟΥΝΗ</v>
      </c>
      <c r="L9" s="142">
        <f>IF($I9&gt;0,VLOOKUP($I9,[4]DrawPrep!$C$3:$G$18,3,FALSE),"")</f>
        <v>0</v>
      </c>
      <c r="M9" s="173"/>
      <c r="N9" s="144" t="str">
        <f>UPPER(IF($A$2="R",IF(OR(M9=1,M9="a"),I9,IF(OR(M9=2,M9="b"),I10,"")),IF(OR(M9=1,M9="a"),K9,IF(OR(M9=2,M9="b"),K10,""))))</f>
        <v/>
      </c>
      <c r="O9" s="145"/>
      <c r="P9" s="171"/>
      <c r="Q9" s="145"/>
      <c r="R9" s="174"/>
    </row>
    <row r="10" spans="1:19" ht="12" customHeight="1" x14ac:dyDescent="0.2">
      <c r="A10" s="148">
        <v>6</v>
      </c>
      <c r="B10" s="149">
        <f>4-D10+4</f>
        <v>8</v>
      </c>
      <c r="C10" s="175">
        <f>IF([4]Setup!E2=3,3,4)</f>
        <v>4</v>
      </c>
      <c r="D10" s="151">
        <f t="shared" si="1"/>
        <v>0</v>
      </c>
      <c r="E10" s="152">
        <f>IF($B$2&gt;=C10,1,0)</f>
        <v>0</v>
      </c>
      <c r="F10" s="153">
        <f>IF(NOT($G10="-"),VLOOKUP($G10,[4]DrawPrep!$A$3:$G$18,2,FALSE),"")</f>
        <v>0</v>
      </c>
      <c r="G10" s="153">
        <f>IF($B$2&gt;=C10,"-",VLOOKUP($B10,[4]Setup!$G$12:$H$27,2,FALSE))</f>
        <v>12</v>
      </c>
      <c r="H10" s="154">
        <f>IF(NOT($G10="-"),VLOOKUP($G10,[4]DrawPrep!$A$3:$G$18,6,FALSE),0)</f>
        <v>0</v>
      </c>
      <c r="I10" s="154">
        <f>IF([4]Setup!$B$24="#",0,IF(NOT($G10="-"),VLOOKUP($G10,[4]DrawPrep!$A$3:$G$18,3,FALSE),0))</f>
        <v>12</v>
      </c>
      <c r="J10" s="155" t="str">
        <f>IF($I10&gt;0,VLOOKUP($I10,[4]DrawPrep!$C$3:$G$18,2,FALSE),"bye")</f>
        <v>Q</v>
      </c>
      <c r="K10" s="155" t="e">
        <f t="shared" si="0"/>
        <v>#VALUE!</v>
      </c>
      <c r="L10" s="156">
        <f>IF($I10&gt;0,VLOOKUP($I10,[4]DrawPrep!$C$3:$G$18,3,FALSE),"")</f>
        <v>0</v>
      </c>
      <c r="M10" s="157"/>
      <c r="N10" s="158"/>
      <c r="O10" s="143"/>
      <c r="P10" s="144" t="str">
        <f>UPPER(IF($A$2="R",IF(OR(O10=1,O10="a"),N9,IF(OR(O10=2,O10="b"),N11,"")),IF(OR(O10=1,O10="a"),N9,IF(OR(O10=2,O10="b"),N11,""))))</f>
        <v/>
      </c>
      <c r="Q10" s="176"/>
      <c r="R10" s="177"/>
    </row>
    <row r="11" spans="1:19" ht="12" customHeight="1" x14ac:dyDescent="0.2">
      <c r="A11" s="159">
        <v>7</v>
      </c>
      <c r="B11" s="149">
        <f>5-D11+4</f>
        <v>9</v>
      </c>
      <c r="C11" s="150">
        <v>5</v>
      </c>
      <c r="D11" s="151">
        <f t="shared" si="1"/>
        <v>0</v>
      </c>
      <c r="E11" s="152">
        <f>IF($B$2&gt;=C11,1,0)</f>
        <v>0</v>
      </c>
      <c r="F11" s="162">
        <f>IF(NOT($G11="-"),VLOOKUP($G11,[4]DrawPrep!$A$3:$G$18,2,FALSE),"")</f>
        <v>0</v>
      </c>
      <c r="G11" s="162">
        <f>IF($B$2&gt;=C11,"-",VLOOKUP($B11,[4]Setup!$G$12:$H$27,2,FALSE))</f>
        <v>14</v>
      </c>
      <c r="H11" s="163">
        <f>IF(NOT($G11="-"),VLOOKUP($G11,[4]DrawPrep!$A$3:$G$18,6,FALSE),0)</f>
        <v>0</v>
      </c>
      <c r="I11" s="163">
        <v>8</v>
      </c>
      <c r="J11" s="164" t="str">
        <f>IF($I11&gt;0,VLOOKUP($I11,[4]DrawPrep!$C$3:$G$18,2,FALSE),"bye")</f>
        <v>ΚΟΚΚΟΤΑ ΑΓΓΕΛΙΚΗ</v>
      </c>
      <c r="K11" s="164" t="str">
        <f t="shared" si="0"/>
        <v>ΚΟΚΚΟΤΑ</v>
      </c>
      <c r="L11" s="165">
        <f>IF($I11&gt;0,VLOOKUP($I11,[4]DrawPrep!$C$3:$G$18,3,FALSE),"")</f>
        <v>0</v>
      </c>
      <c r="M11" s="143"/>
      <c r="N11" s="144" t="str">
        <f>UPPER(IF($A$2="R",IF(OR(M11=1,M11="a"),I11,IF(OR(M11=2,M11="b"),I12,"")),IF(OR(M11=1,M11="a"),K11,IF(OR(M11=2,M11="b"),K12,""))))</f>
        <v/>
      </c>
      <c r="O11" s="157"/>
      <c r="P11" s="178"/>
      <c r="Q11" s="145"/>
      <c r="R11" s="177"/>
    </row>
    <row r="12" spans="1:19" ht="12" customHeight="1" x14ac:dyDescent="0.2">
      <c r="A12" s="166">
        <v>8</v>
      </c>
      <c r="B12" s="149">
        <f>6-D12+4</f>
        <v>10</v>
      </c>
      <c r="C12" s="160"/>
      <c r="D12" s="151">
        <f t="shared" si="1"/>
        <v>0</v>
      </c>
      <c r="E12" s="161">
        <v>0</v>
      </c>
      <c r="F12" s="167">
        <f>IF(NOT($G12="-"),VLOOKUP($G12,[4]DrawPrep!$A$3:$G$18,2,FALSE),"")</f>
        <v>0</v>
      </c>
      <c r="G12" s="179">
        <f>VLOOKUP($B12,[4]Setup!$G$12:$H$27,2,FALSE)</f>
        <v>13</v>
      </c>
      <c r="H12" s="168">
        <f>IF($G12&gt;0,VLOOKUP($G12,[4]DrawPrep!$A$3:$G$18,6,FALSE),0)</f>
        <v>0</v>
      </c>
      <c r="I12" s="168">
        <f>IF([4]Setup!$B$24="#",0,IF($G12&gt;0,VLOOKUP($G12,[4]DrawPrep!$A$3:$G$18,3,FALSE),0))</f>
        <v>10</v>
      </c>
      <c r="J12" s="169" t="str">
        <f>IF($I12&gt;0,VLOOKUP($I12,[4]DrawPrep!$C$3:$G$18,2,FALSE),"bye")</f>
        <v>Q</v>
      </c>
      <c r="K12" s="169" t="e">
        <f t="shared" si="0"/>
        <v>#VALUE!</v>
      </c>
      <c r="L12" s="170">
        <f>IF($I12&gt;0,VLOOKUP($I12,[4]DrawPrep!$C$3:$G$18,3,FALSE),"")</f>
        <v>0</v>
      </c>
      <c r="M12" s="157"/>
      <c r="N12" s="178"/>
      <c r="P12" s="146"/>
      <c r="Q12" s="172"/>
      <c r="R12" s="180" t="str">
        <f>UPPER(IF($A$2="R",IF(OR(Q12=1,Q12="a"),R8,IF(OR(Q12=2,Q12="b"),R16,"")),IF(OR(Q12=1,Q12="a"),R8,IF(OR(Q12=2,Q12="b"),R16,""))))</f>
        <v/>
      </c>
      <c r="S12" s="176"/>
    </row>
    <row r="13" spans="1:19" ht="12" customHeight="1" x14ac:dyDescent="0.2">
      <c r="A13" s="181">
        <v>9</v>
      </c>
      <c r="B13" s="133">
        <f>VALUE([4]Setup!E3)</f>
        <v>3</v>
      </c>
      <c r="C13" s="160"/>
      <c r="D13" s="151">
        <f t="shared" si="1"/>
        <v>0</v>
      </c>
      <c r="E13" s="161">
        <v>0</v>
      </c>
      <c r="F13" s="131">
        <f>IF(NOT($G13="-"),VLOOKUP($G13,[4]DrawPrep!$A$3:$G$18,2,FALSE),"")</f>
        <v>0</v>
      </c>
      <c r="G13" s="182">
        <f>VLOOKUP($B13,[4]Setup!$G$12:$H$27,2,FALSE)</f>
        <v>3</v>
      </c>
      <c r="H13" s="183">
        <f>IF($G13&gt;0,VLOOKUP($G13,[4]DrawPrep!$A$3:$G$18,6,FALSE),0)</f>
        <v>6</v>
      </c>
      <c r="I13" s="221">
        <f>IF([4]Setup!$B$24="#",0,IF($G13&gt;0,VLOOKUP($G13,[4]DrawPrep!$A$3:$G$18,3,FALSE),0))</f>
        <v>3</v>
      </c>
      <c r="J13" s="185" t="str">
        <f>IF($I13&gt;0,VLOOKUP($I13,[4]DrawPrep!$C$3:$G$18,2,FALSE),"bye")</f>
        <v>ΣΤΕΦΑΝΟΥ ΑΓΝΗ</v>
      </c>
      <c r="K13" s="185" t="str">
        <f t="shared" si="0"/>
        <v>ΣΤΕΦΑΝΟΥ</v>
      </c>
      <c r="L13" s="186">
        <f>IF($I13&gt;0,VLOOKUP($I13,[4]DrawPrep!$C$3:$G$18,3,FALSE),"")</f>
        <v>0</v>
      </c>
      <c r="M13" s="143"/>
      <c r="N13" s="144" t="str">
        <f>UPPER(IF($A$2="R",IF(OR(M13=1,M13="a"),I13,IF(OR(M13=2,M13="b"),I14,"")),IF(OR(M13=1,M13="a"),K13,IF(OR(M13=2,M13="b"),K14,""))))</f>
        <v/>
      </c>
      <c r="O13" s="145"/>
      <c r="P13" s="146"/>
      <c r="R13" s="187"/>
    </row>
    <row r="14" spans="1:19" ht="12" customHeight="1" x14ac:dyDescent="0.2">
      <c r="A14" s="181">
        <v>10</v>
      </c>
      <c r="B14" s="149">
        <f>7-D14+4</f>
        <v>11</v>
      </c>
      <c r="C14" s="175">
        <f>IF([4]Setup!E2=3,4,3)</f>
        <v>3</v>
      </c>
      <c r="D14" s="151">
        <f t="shared" si="1"/>
        <v>0</v>
      </c>
      <c r="E14" s="152">
        <f>IF($B$2&gt;=C14,1,0)</f>
        <v>0</v>
      </c>
      <c r="F14" s="131">
        <f>IF(NOT($G14="-"),VLOOKUP($G14,[4]DrawPrep!$A$3:$G$18,2,FALSE),"")</f>
        <v>0</v>
      </c>
      <c r="G14" s="131">
        <f>IF($B$2&gt;=C14,"-",VLOOKUP($B14,[4]Setup!$G$12:$H$27,2,FALSE))</f>
        <v>5</v>
      </c>
      <c r="H14" s="183">
        <f>IF(NOT($G14="-"),VLOOKUP($G14,[4]DrawPrep!$A$3:$G$18,6,FALSE),0)</f>
        <v>5</v>
      </c>
      <c r="I14" s="183">
        <v>7</v>
      </c>
      <c r="J14" s="184" t="str">
        <f>IF($I14&gt;0,VLOOKUP($I14,[4]DrawPrep!$C$3:$G$18,2,FALSE),"bye")</f>
        <v>ΣΑΡΛΗ ΟΛΓΑ</v>
      </c>
      <c r="K14" s="184" t="str">
        <f t="shared" si="0"/>
        <v>ΣΑΡΛΗ</v>
      </c>
      <c r="L14" s="188">
        <f>IF($I14&gt;0,VLOOKUP($I14,[4]DrawPrep!$C$3:$G$18,3,FALSE),"")</f>
        <v>0</v>
      </c>
      <c r="M14" s="157"/>
      <c r="N14" s="158"/>
      <c r="O14" s="143"/>
      <c r="P14" s="144" t="str">
        <f>UPPER(IF($A$2="R",IF(OR(O14=1,O14="a"),N13,IF(OR(O14=2,O14="b"),N15,"")),IF(OR(O14=1,O14="a"),N13,IF(OR(O14=2,O14="b"),N15,""))))</f>
        <v/>
      </c>
      <c r="Q14" s="145"/>
      <c r="R14" s="177"/>
    </row>
    <row r="15" spans="1:19" ht="12" customHeight="1" x14ac:dyDescent="0.2">
      <c r="A15" s="159">
        <v>11</v>
      </c>
      <c r="B15" s="149">
        <f>8-D15+4</f>
        <v>12</v>
      </c>
      <c r="C15" s="160"/>
      <c r="D15" s="151">
        <f t="shared" si="1"/>
        <v>0</v>
      </c>
      <c r="E15" s="161">
        <v>0</v>
      </c>
      <c r="F15" s="162">
        <f>IF(NOT($G15="-"),VLOOKUP($G15,[4]DrawPrep!$A$3:$G$18,2,FALSE),"")</f>
        <v>0</v>
      </c>
      <c r="G15" s="162">
        <f>VLOOKUP($B15,[4]Setup!$G$12:$H$27,2,FALSE)</f>
        <v>10</v>
      </c>
      <c r="H15" s="163">
        <f>IF($G15&gt;0,VLOOKUP($G15,[4]DrawPrep!$A$3:$G$18,6,FALSE),0)</f>
        <v>0</v>
      </c>
      <c r="I15" s="163">
        <f>IF([4]Setup!$B$24="#",0,IF($G15&gt;0,VLOOKUP($G15,[4]DrawPrep!$A$3:$G$18,3,FALSE),0))</f>
        <v>9</v>
      </c>
      <c r="J15" s="164" t="str">
        <f>IF($I15&gt;0,VLOOKUP($I15,[4]DrawPrep!$C$3:$G$18,2,FALSE),"bye")</f>
        <v>Q</v>
      </c>
      <c r="K15" s="164" t="e">
        <f t="shared" si="0"/>
        <v>#VALUE!</v>
      </c>
      <c r="L15" s="165">
        <f>IF($I15&gt;0,VLOOKUP($I15,[4]DrawPrep!$C$3:$G$18,3,FALSE),"")</f>
        <v>0</v>
      </c>
      <c r="M15" s="143"/>
      <c r="N15" s="144" t="str">
        <f>UPPER(IF($A$2="R",IF(OR(M15=1,M15="a"),I15,IF(OR(M15=2,M15="b"),I16,"")),IF(OR(M15=1,M15="a"),K15,IF(OR(M15=2,M15="b"),K16,""))))</f>
        <v/>
      </c>
      <c r="O15" s="157"/>
      <c r="P15" s="158"/>
      <c r="Q15" s="145"/>
      <c r="R15" s="177"/>
    </row>
    <row r="16" spans="1:19" ht="12" customHeight="1" x14ac:dyDescent="0.2">
      <c r="A16" s="166">
        <v>12</v>
      </c>
      <c r="B16" s="149">
        <f>9-D16+4</f>
        <v>13</v>
      </c>
      <c r="C16" s="150">
        <v>6</v>
      </c>
      <c r="D16" s="151">
        <f t="shared" si="1"/>
        <v>0</v>
      </c>
      <c r="E16" s="152">
        <f>IF($B$2&gt;=C16,1,0)</f>
        <v>0</v>
      </c>
      <c r="F16" s="167">
        <f>IF(NOT($G16="-"),VLOOKUP($G16,[4]DrawPrep!$A$3:$G$18,2,FALSE),"")</f>
        <v>0</v>
      </c>
      <c r="G16" s="167">
        <f>IF($B$2&gt;=C16,"-",VLOOKUP($B16,[4]Setup!$G$12:$H$27,2,FALSE))</f>
        <v>7</v>
      </c>
      <c r="H16" s="168">
        <f>IF(NOT($G16="-"),VLOOKUP($G16,[4]DrawPrep!$A$3:$G$18,6,FALSE),0)</f>
        <v>0.75</v>
      </c>
      <c r="I16" s="168">
        <v>5</v>
      </c>
      <c r="J16" s="169" t="str">
        <f>IF($I16&gt;0,VLOOKUP($I16,[4]DrawPrep!$C$3:$G$18,2,FALSE),"bye")</f>
        <v>ΤΣΙΑΡΑ ΙΩΑΝΝΑ</v>
      </c>
      <c r="K16" s="169" t="str">
        <f t="shared" si="0"/>
        <v>ΤΣΙΑΡΑ</v>
      </c>
      <c r="L16" s="170">
        <f>IF($I16&gt;0,VLOOKUP($I16,[4]DrawPrep!$C$3:$G$18,3,FALSE),"")</f>
        <v>0</v>
      </c>
      <c r="M16" s="191"/>
      <c r="N16" s="178"/>
      <c r="O16" s="145"/>
      <c r="P16" s="171"/>
      <c r="Q16" s="172"/>
      <c r="R16" s="192" t="str">
        <f>UPPER(IF($A$2="R",IF(OR(Q16=1,Q16="a"),P14,IF(OR(Q16=2,Q16="b"),P18,"")),IF(OR(Q16=1,Q16="a"),P14,IF(OR(Q16=2,Q16="b"),P18,""))))</f>
        <v/>
      </c>
      <c r="S16" s="176"/>
    </row>
    <row r="17" spans="1:19" ht="12" customHeight="1" x14ac:dyDescent="0.2">
      <c r="A17" s="181">
        <v>13</v>
      </c>
      <c r="B17" s="149">
        <f>10-D17+4</f>
        <v>14</v>
      </c>
      <c r="C17" s="160"/>
      <c r="D17" s="151">
        <f t="shared" si="1"/>
        <v>0</v>
      </c>
      <c r="E17" s="161">
        <v>0</v>
      </c>
      <c r="F17" s="131">
        <f>IF(NOT($G17="-"),VLOOKUP($G17,[4]DrawPrep!$A$3:$G$18,2,FALSE),"")</f>
        <v>0</v>
      </c>
      <c r="G17" s="131">
        <f>VLOOKUP($B17,[4]Setup!$G$12:$H$27,2,FALSE)</f>
        <v>11</v>
      </c>
      <c r="H17" s="183">
        <f>IF($G17&gt;0,VLOOKUP($G17,[4]DrawPrep!$A$3:$G$18,6,FALSE),0)</f>
        <v>0</v>
      </c>
      <c r="I17" s="183">
        <f>IF([4]Setup!$B$24="#",0,IF($G17&gt;0,VLOOKUP($G17,[4]DrawPrep!$A$3:$G$18,3,FALSE),0))</f>
        <v>14</v>
      </c>
      <c r="J17" s="184" t="str">
        <f>IF($I17&gt;0,VLOOKUP($I17,[4]DrawPrep!$C$3:$G$18,2,FALSE),"bye")</f>
        <v>Q</v>
      </c>
      <c r="K17" s="184" t="e">
        <f t="shared" si="0"/>
        <v>#VALUE!</v>
      </c>
      <c r="L17" s="188">
        <f>IF($I17&gt;0,VLOOKUP($I17,[4]DrawPrep!$C$3:$G$18,3,FALSE),"")</f>
        <v>0</v>
      </c>
      <c r="M17" s="143"/>
      <c r="N17" s="144" t="str">
        <f>UPPER(IF($A$2="R",IF(OR(M17=1,M17="a"),I17,IF(OR(M17=2,M17="b"),I18,"")),IF(OR(M17=1,M17="a"),K17,IF(OR(M17=2,M17="b"),K18,""))))</f>
        <v/>
      </c>
      <c r="O17" s="145"/>
      <c r="P17" s="171"/>
      <c r="Q17" s="145"/>
      <c r="R17" s="131"/>
    </row>
    <row r="18" spans="1:19" ht="12" customHeight="1" x14ac:dyDescent="0.2">
      <c r="A18" s="181">
        <v>14</v>
      </c>
      <c r="B18" s="149">
        <f>11-D18+4</f>
        <v>15</v>
      </c>
      <c r="C18" s="150">
        <v>8</v>
      </c>
      <c r="D18" s="151">
        <f t="shared" si="1"/>
        <v>0</v>
      </c>
      <c r="E18" s="152">
        <f>IF($B$2&gt;=C18,1,0)</f>
        <v>0</v>
      </c>
      <c r="F18" s="131">
        <f>IF(NOT($G18="-"),VLOOKUP($G18,[4]DrawPrep!$A$3:$G$18,2,FALSE),"")</f>
        <v>0</v>
      </c>
      <c r="G18" s="131">
        <f>IF($B$2&gt;=C18,"-",VLOOKUP($B18,[4]Setup!$G$12:$H$27,2,FALSE))</f>
        <v>6</v>
      </c>
      <c r="H18" s="183">
        <f>IF(NOT($G18="-"),VLOOKUP($G18,[4]DrawPrep!$A$3:$G$18,6,FALSE),0)</f>
        <v>1</v>
      </c>
      <c r="I18" s="183">
        <f>IF([4]Setup!$B$24="#",0,IF(NOT($G18="-"),VLOOKUP($G18,[4]DrawPrep!$A$3:$G$18,3,FALSE),0))</f>
        <v>6</v>
      </c>
      <c r="J18" s="184" t="str">
        <f>IF($I18&gt;0,VLOOKUP($I18,[4]DrawPrep!$C$3:$G$18,2,FALSE),"bye")</f>
        <v>ΤΣΕΛΟΥ ΑΝΑΣΤΑΣΙΑ</v>
      </c>
      <c r="K18" s="184" t="str">
        <f t="shared" si="0"/>
        <v>ΤΣΕΛΟΥ</v>
      </c>
      <c r="L18" s="188">
        <f>IF($I18&gt;0,VLOOKUP($I18,[4]DrawPrep!$C$3:$G$18,3,FALSE),"")</f>
        <v>0</v>
      </c>
      <c r="M18" s="157"/>
      <c r="N18" s="158"/>
      <c r="O18" s="143"/>
      <c r="P18" s="144" t="str">
        <f>UPPER(IF($A$2="R",IF(OR(O18=1,O18="a"),N17,IF(OR(O18=2,O18="b"),N19,"")),IF(OR(O18=1,O18="a"),N17,IF(OR(O18=2,O18="b"),N19,""))))</f>
        <v/>
      </c>
      <c r="Q18" s="176"/>
      <c r="R18" s="146"/>
    </row>
    <row r="19" spans="1:19" ht="12" customHeight="1" x14ac:dyDescent="0.2">
      <c r="A19" s="159">
        <v>15</v>
      </c>
      <c r="B19" s="149">
        <f>12-D19+4</f>
        <v>16</v>
      </c>
      <c r="C19" s="150">
        <v>2</v>
      </c>
      <c r="D19" s="151">
        <f t="shared" si="1"/>
        <v>0</v>
      </c>
      <c r="E19" s="152">
        <f>IF($B$2&gt;=C19,1,0)</f>
        <v>0</v>
      </c>
      <c r="F19" s="162">
        <f>IF(NOT($G19="-"),VLOOKUP($G19,[4]DrawPrep!$A$3:$G$18,2,FALSE),"")</f>
        <v>0</v>
      </c>
      <c r="G19" s="162">
        <f>IF($B$2&gt;=C19,"-",VLOOKUP($B19,[4]Setup!$G$12:$H$27,2,FALSE))</f>
        <v>15</v>
      </c>
      <c r="H19" s="163">
        <f>IF(NOT($G19="-"),VLOOKUP($G19,[4]DrawPrep!$A$3:$G$18,6,FALSE),0)</f>
        <v>0</v>
      </c>
      <c r="I19" s="163">
        <f>IF([4]Setup!$B$24="#",0,IF(NOT($G19="-"),VLOOKUP($G19,[4]DrawPrep!$A$3:$G$18,3,FALSE),0))</f>
        <v>16</v>
      </c>
      <c r="J19" s="164" t="str">
        <f>IF($I19&gt;0,VLOOKUP($I19,[4]DrawPrep!$C$3:$G$18,2,FALSE),"bye")</f>
        <v>Q</v>
      </c>
      <c r="K19" s="164" t="e">
        <f t="shared" si="0"/>
        <v>#VALUE!</v>
      </c>
      <c r="L19" s="165">
        <f>IF($I19&gt;0,VLOOKUP($I19,[4]DrawPrep!$C$3:$G$18,3,FALSE),"")</f>
        <v>0</v>
      </c>
      <c r="M19" s="143"/>
      <c r="N19" s="144" t="str">
        <f>UPPER(IF($A$2="R",IF(OR(M19=1,M19="a"),I19,IF(OR(M19=2,M19="b"),I20,"")),IF(OR(M19=1,M19="a"),K19,IF(OR(M19=2,M19="b"),K20,""))))</f>
        <v/>
      </c>
      <c r="O19" s="157"/>
      <c r="P19" s="178"/>
      <c r="Q19" s="145"/>
      <c r="R19" s="146"/>
    </row>
    <row r="20" spans="1:19" ht="12" customHeight="1" x14ac:dyDescent="0.2">
      <c r="A20" s="166">
        <v>16</v>
      </c>
      <c r="B20" s="133">
        <v>2</v>
      </c>
      <c r="C20" s="160"/>
      <c r="D20" s="151">
        <f t="shared" si="1"/>
        <v>0</v>
      </c>
      <c r="E20" s="161">
        <v>0</v>
      </c>
      <c r="F20" s="167">
        <f>IF(NOT($G20="-"),VLOOKUP($G20,[4]DrawPrep!$A$3:$G$18,2,FALSE),"")</f>
        <v>0</v>
      </c>
      <c r="G20" s="193">
        <f>VLOOKUP($B20,[4]Setup!$G$12:$H$27,2,FALSE)</f>
        <v>2</v>
      </c>
      <c r="H20" s="168">
        <f>IF($G20&gt;0,VLOOKUP($G20,[4]DrawPrep!$A$3:$G$18,6,FALSE),0)</f>
        <v>12</v>
      </c>
      <c r="I20" s="189">
        <f>IF([4]Setup!$B$24="#",0,IF($G20&gt;0,VLOOKUP($G20,[4]DrawPrep!$A$3:$G$18,3,FALSE),0))</f>
        <v>2</v>
      </c>
      <c r="J20" s="190" t="str">
        <f>IF($I20&gt;0,VLOOKUP($I20,[4]DrawPrep!$C$3:$G$18,2,FALSE),"bye")</f>
        <v>ΑΝΤΩΝΑΚΗ ΕΜΜΑΝΟΥΕΛΑ</v>
      </c>
      <c r="K20" s="190" t="str">
        <f t="shared" si="0"/>
        <v>ΑΝΤΩΝΑΚΗ</v>
      </c>
      <c r="L20" s="194">
        <f>IF($I20&gt;0,VLOOKUP($I20,[4]DrawPrep!$C$3:$G$18,3,FALSE),"")</f>
        <v>0</v>
      </c>
      <c r="M20" s="157"/>
      <c r="N20" s="178"/>
      <c r="O20" s="145"/>
      <c r="P20" s="146"/>
      <c r="Q20" s="145"/>
      <c r="R20" s="146"/>
      <c r="S20" s="129"/>
    </row>
    <row r="21" spans="1:19" x14ac:dyDescent="0.2">
      <c r="N21" s="196" t="s">
        <v>10</v>
      </c>
      <c r="P21" s="196" t="s">
        <v>10</v>
      </c>
      <c r="R21" s="196" t="s">
        <v>10</v>
      </c>
    </row>
    <row r="22" spans="1:19" x14ac:dyDescent="0.2">
      <c r="G22" s="197"/>
      <c r="H22" s="197"/>
      <c r="P22" s="146"/>
    </row>
    <row r="23" spans="1:19" x14ac:dyDescent="0.2">
      <c r="G23" s="131"/>
      <c r="H23" s="131"/>
      <c r="P23" s="198"/>
    </row>
    <row r="24" spans="1:19" s="199" customFormat="1" ht="9.75" x14ac:dyDescent="0.2">
      <c r="C24" s="200"/>
      <c r="D24" s="201"/>
      <c r="E24" s="201"/>
      <c r="G24" s="200"/>
      <c r="H24" s="200"/>
      <c r="I24" s="201"/>
      <c r="J24" s="202" t="s">
        <v>11</v>
      </c>
      <c r="K24" s="203"/>
      <c r="M24" s="204"/>
      <c r="O24" s="205"/>
      <c r="Q24" s="205"/>
      <c r="R24" s="206"/>
      <c r="S24" s="207"/>
    </row>
    <row r="25" spans="1:19" s="199" customFormat="1" ht="9.75" x14ac:dyDescent="0.2">
      <c r="C25" s="200"/>
      <c r="D25" s="201"/>
      <c r="E25" s="201"/>
      <c r="G25" s="200"/>
      <c r="H25" s="200"/>
      <c r="I25" s="201"/>
      <c r="J25" s="208" t="str">
        <f>"1. " &amp; IF([4]Setup!B19&gt;0,LEFT([4]DrawPrep!D3,FIND(" ",[4]DrawPrep!D3)+1),"")</f>
        <v>1. ΧΡΙΣΤΟΦΗ Ε</v>
      </c>
      <c r="K25" s="206"/>
      <c r="M25" s="209"/>
      <c r="N25" s="209"/>
      <c r="O25" s="205"/>
      <c r="Q25" s="205"/>
      <c r="R25" s="206"/>
      <c r="S25" s="207"/>
    </row>
    <row r="26" spans="1:19" s="199" customFormat="1" ht="9.75" x14ac:dyDescent="0.2">
      <c r="C26" s="200"/>
      <c r="D26" s="201"/>
      <c r="E26" s="201"/>
      <c r="G26" s="200"/>
      <c r="H26" s="200"/>
      <c r="I26" s="201"/>
      <c r="J26" s="208" t="str">
        <f>"2. " &amp; IF([4]Setup!B19&gt;1,LEFT([4]DrawPrep!D4,FIND(" ",[4]DrawPrep!D4)+1),"")</f>
        <v>2. ΑΝΤΩΝΑΚΗ Ε</v>
      </c>
      <c r="K26" s="206"/>
      <c r="M26" s="204"/>
      <c r="O26" s="205"/>
      <c r="Q26" s="205"/>
      <c r="R26" s="210" t="s">
        <v>12</v>
      </c>
      <c r="S26" s="207"/>
    </row>
    <row r="27" spans="1:19" s="199" customFormat="1" ht="9.75" x14ac:dyDescent="0.2">
      <c r="C27" s="200"/>
      <c r="D27" s="201"/>
      <c r="E27" s="201"/>
      <c r="G27" s="200"/>
      <c r="H27" s="200"/>
      <c r="I27" s="201"/>
      <c r="J27" s="208" t="str">
        <f>"3. " &amp; IF([4]Setup!B19&gt;2,LEFT([4]DrawPrep!D5,FIND(" ",[4]DrawPrep!D5)+1),"")</f>
        <v>3. ΣΤΕΦΑΝΟΥ Α</v>
      </c>
      <c r="K27" s="206"/>
      <c r="M27" s="204"/>
      <c r="O27" s="205"/>
      <c r="Q27" s="205"/>
      <c r="R27" s="308" t="str">
        <f>[4]Setup!B10</f>
        <v>Τ.Ταμπόση</v>
      </c>
      <c r="S27" s="308"/>
    </row>
    <row r="28" spans="1:19" s="199" customFormat="1" ht="9.75" x14ac:dyDescent="0.2">
      <c r="C28" s="200"/>
      <c r="D28" s="201"/>
      <c r="E28" s="201"/>
      <c r="G28" s="200"/>
      <c r="H28" s="200"/>
      <c r="I28" s="201"/>
      <c r="J28" s="208" t="str">
        <f>"4. " &amp; IF([4]Setup!B19&gt;3,LEFT([4]DrawPrep!D6,FIND(" ",[4]DrawPrep!D6)+1),"")</f>
        <v>4. ΚΑΡΒΟΥΝΗ Β</v>
      </c>
      <c r="K28" s="206"/>
      <c r="M28" s="204"/>
      <c r="O28" s="205"/>
      <c r="Q28" s="205"/>
      <c r="R28" s="206"/>
      <c r="S28" s="207"/>
    </row>
    <row r="39" spans="10:10" x14ac:dyDescent="0.2">
      <c r="J39" s="211"/>
    </row>
    <row r="40" spans="10:10" x14ac:dyDescent="0.2">
      <c r="J40" s="212" t="s">
        <v>13</v>
      </c>
    </row>
    <row r="41" spans="10:10" x14ac:dyDescent="0.2">
      <c r="J41" s="213" t="str">
        <f>IF([4]Setup!$B$19&gt;0,LEFT([4]DrawPrep!D3,FIND(" ",[4]DrawPrep!D3)-1))</f>
        <v>ΧΡΙΣΤΟΦΗ</v>
      </c>
    </row>
    <row r="42" spans="10:10" x14ac:dyDescent="0.2">
      <c r="J42" s="213" t="str">
        <f>IF([4]Setup!$B$19&gt;1,LEFT([4]DrawPrep!D4,FIND(" ",[4]DrawPrep!D4)-1))</f>
        <v>ΑΝΤΩΝΑΚΗ</v>
      </c>
    </row>
    <row r="43" spans="10:10" x14ac:dyDescent="0.2">
      <c r="J43" s="213" t="str">
        <f>IF([4]Setup!$B$19&gt;2,LEFT([4]DrawPrep!D5,FIND(" ",[4]DrawPrep!D5)-1))</f>
        <v>ΣΤΕΦΑΝΟΥ</v>
      </c>
    </row>
    <row r="44" spans="10:10" x14ac:dyDescent="0.2">
      <c r="J44" s="213" t="str">
        <f>IF([4]Setup!$B$19&gt;3,LEFT([4]DrawPrep!D6,FIND(" ",[4]DrawPrep!D6)-1))</f>
        <v>ΚΑΡΒΟΥΝΗ</v>
      </c>
    </row>
    <row r="45" spans="10:10" ht="12" x14ac:dyDescent="0.2">
      <c r="J45" s="214"/>
    </row>
    <row r="46" spans="10:10" ht="12" x14ac:dyDescent="0.2">
      <c r="J46" s="215"/>
    </row>
    <row r="47" spans="10:10" ht="12" x14ac:dyDescent="0.2">
      <c r="J47" s="215"/>
    </row>
    <row r="48" spans="10:10" ht="12" x14ac:dyDescent="0.2">
      <c r="J48" s="215"/>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6" priority="2">
      <formula>MATCH(N5,$J$41:$J$44,0)</formula>
    </cfRule>
  </conditionalFormatting>
  <conditionalFormatting sqref="R12">
    <cfRule type="expression" dxfId="65"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4]!Sheet2pdf">
                <anchor moveWithCells="1" sizeWithCells="1">
                  <from>
                    <xdr:col>19</xdr:col>
                    <xdr:colOff>76200</xdr:colOff>
                    <xdr:row>1</xdr:row>
                    <xdr:rowOff>19050</xdr:rowOff>
                  </from>
                  <to>
                    <xdr:col>22</xdr:col>
                    <xdr:colOff>219075</xdr:colOff>
                    <xdr:row>3</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T105"/>
  <sheetViews>
    <sheetView showGridLines="0" showZeros="0" zoomScale="110" workbookViewId="0">
      <pane ySplit="1" topLeftCell="A2" activePane="bottomLeft" state="frozen"/>
      <selection sqref="A1:E1"/>
      <selection pane="bottomLeft" activeCell="F61" sqref="F61:F62"/>
    </sheetView>
  </sheetViews>
  <sheetFormatPr defaultColWidth="8.85546875" defaultRowHeight="11.25" x14ac:dyDescent="0.2"/>
  <cols>
    <col min="1" max="1" width="2.42578125" style="114" bestFit="1" customWidth="1"/>
    <col min="2" max="2" width="2.28515625" style="114" hidden="1" customWidth="1"/>
    <col min="3" max="3" width="5.85546875" style="117" hidden="1" customWidth="1"/>
    <col min="4" max="4" width="5.28515625" style="118" hidden="1" customWidth="1"/>
    <col min="5" max="5" width="4.5703125" style="118" hidden="1" customWidth="1"/>
    <col min="6" max="6" width="3.42578125" style="117" bestFit="1" customWidth="1"/>
    <col min="7" max="7" width="6.28515625" style="232" customWidth="1"/>
    <col min="8" max="8" width="25.7109375" style="114" customWidth="1"/>
    <col min="9" max="9" width="12.85546875" style="114" hidden="1" customWidth="1"/>
    <col min="10" max="10" width="7.5703125" style="114" customWidth="1"/>
    <col min="11" max="11" width="1.42578125" style="195" bestFit="1" customWidth="1"/>
    <col min="12" max="12" width="18" style="114" bestFit="1" customWidth="1"/>
    <col min="13" max="13" width="1.42578125" style="147" bestFit="1" customWidth="1"/>
    <col min="14" max="14" width="13.5703125" style="114" bestFit="1" customWidth="1"/>
    <col min="15" max="15" width="1.42578125" style="147" bestFit="1" customWidth="1"/>
    <col min="16" max="16" width="13.5703125" style="198" bestFit="1" customWidth="1"/>
    <col min="17" max="17" width="1.42578125" style="145" bestFit="1" customWidth="1"/>
    <col min="18" max="18" width="13.5703125" style="198" bestFit="1" customWidth="1"/>
    <col min="19" max="19" width="8.85546875" style="198"/>
    <col min="20" max="20" width="28.28515625" style="114" bestFit="1" customWidth="1"/>
    <col min="21" max="16384" width="8.85546875" style="114"/>
  </cols>
  <sheetData>
    <row r="1" spans="1:19" s="110" customFormat="1" ht="18" x14ac:dyDescent="0.2">
      <c r="A1" s="317" t="str">
        <f>[6]Setup!$B$3 &amp; ", " &amp; [6]Setup!$B$4 &amp; ", " &amp; [6]Setup!$B$6 &amp; ", " &amp; [6]Setup!$B$8 &amp; "-" &amp; [6]Setup!$B$9</f>
        <v>Η΄ΕΝΩΣΗ, OPEN MASTERS, Ο.Α.ΑΘΗΝΩΝ, 13-22 Νοε</v>
      </c>
      <c r="B1" s="317"/>
      <c r="C1" s="317"/>
      <c r="D1" s="317"/>
      <c r="E1" s="317"/>
      <c r="F1" s="317"/>
      <c r="G1" s="317"/>
      <c r="H1" s="317"/>
      <c r="I1" s="317"/>
      <c r="J1" s="317"/>
      <c r="K1" s="317"/>
      <c r="L1" s="317"/>
      <c r="M1" s="317"/>
      <c r="N1" s="317"/>
      <c r="O1" s="317"/>
      <c r="P1" s="317"/>
      <c r="Q1" s="222"/>
      <c r="R1" s="323" t="str">
        <f>[6]Setup!B7</f>
        <v>dm</v>
      </c>
      <c r="S1" s="223"/>
    </row>
    <row r="2" spans="1:19" s="231" customFormat="1" ht="8.25" x14ac:dyDescent="0.2">
      <c r="A2" s="224"/>
      <c r="B2" s="129">
        <f>[6]Setup!$B$18</f>
        <v>14</v>
      </c>
      <c r="C2" s="129"/>
      <c r="D2" s="225"/>
      <c r="E2" s="225"/>
      <c r="F2" s="226"/>
      <c r="G2" s="226"/>
      <c r="H2" s="227"/>
      <c r="I2" s="227"/>
      <c r="J2" s="227"/>
      <c r="K2" s="129"/>
      <c r="L2" s="227"/>
      <c r="M2" s="225"/>
      <c r="N2" s="227"/>
      <c r="O2" s="225"/>
      <c r="P2" s="228"/>
      <c r="Q2" s="229"/>
      <c r="R2" s="228"/>
      <c r="S2" s="230"/>
    </row>
    <row r="3" spans="1:19" x14ac:dyDescent="0.2">
      <c r="H3" s="307">
        <v>32</v>
      </c>
      <c r="I3" s="307"/>
      <c r="J3" s="307"/>
      <c r="K3" s="120"/>
      <c r="L3" s="301">
        <v>16</v>
      </c>
      <c r="M3" s="122"/>
      <c r="N3" s="301">
        <v>8</v>
      </c>
      <c r="O3" s="122"/>
      <c r="P3" s="123">
        <v>4</v>
      </c>
      <c r="Q3" s="124"/>
      <c r="R3" s="123" t="s">
        <v>19</v>
      </c>
    </row>
    <row r="4" spans="1:19" s="117" customFormat="1" x14ac:dyDescent="0.2">
      <c r="A4" s="125" t="s">
        <v>0</v>
      </c>
      <c r="B4" s="126"/>
      <c r="C4" s="127" t="s">
        <v>1</v>
      </c>
      <c r="D4" s="127" t="s">
        <v>2</v>
      </c>
      <c r="E4" s="127" t="s">
        <v>3</v>
      </c>
      <c r="F4" s="125" t="s">
        <v>5</v>
      </c>
      <c r="G4" s="125" t="s">
        <v>7</v>
      </c>
      <c r="H4" s="128" t="s">
        <v>8</v>
      </c>
      <c r="I4" s="127" t="s">
        <v>9</v>
      </c>
      <c r="J4" s="128"/>
      <c r="K4" s="129"/>
      <c r="M4" s="130"/>
      <c r="O4" s="130"/>
      <c r="P4" s="131"/>
      <c r="Q4" s="112"/>
      <c r="R4" s="131"/>
      <c r="S4" s="131"/>
    </row>
    <row r="5" spans="1:19" x14ac:dyDescent="0.2">
      <c r="A5" s="309">
        <v>1</v>
      </c>
      <c r="B5" s="233">
        <v>1</v>
      </c>
      <c r="C5" s="234"/>
      <c r="D5" s="235"/>
      <c r="E5" s="236">
        <v>0</v>
      </c>
      <c r="F5" s="311">
        <f>VLOOKUP($B5,[6]Setup!$K$2:$L$33,2,FALSE)</f>
        <v>1</v>
      </c>
      <c r="G5" s="140">
        <f>IF([6]Setup!$B$24="#",0,IF(F5&gt;0,VLOOKUP(F5,[6]DrawPrep!$A$3:$I$34,3,FALSE),0))</f>
        <v>1</v>
      </c>
      <c r="H5" s="237" t="str">
        <f>IF(G5&gt;0,VLOOKUP(G5,[6]DrawPrep!$C$3:$E$34,2,FALSE),"bye")</f>
        <v>ΑΓΓΕΛΙΝΟΣ ΘΟΔΩΡΗΣ</v>
      </c>
      <c r="I5" s="238" t="str">
        <f>IF(G5&gt;0,LEFT(H5,FIND(" ",H5)-1),"")</f>
        <v>ΑΓΓΕΛΙΝΟΣ</v>
      </c>
      <c r="J5" s="239">
        <f>IF($G5&gt;0,VLOOKUP($G5,[6]DrawPrep!$C$3:$E$34,3,FALSE),"")</f>
        <v>0</v>
      </c>
      <c r="K5" s="114"/>
      <c r="L5" s="217" t="str">
        <f>UPPER(IF($A$2="R",IF(OR(K6=1,K6="a"),G5,IF(OR(K6=2,K6="b"),G7,"")),IF(OR(K6=1,K6="1"),I5,IF(OR(K6=2,K6="b"),I7,""))))</f>
        <v>ΑΓΓΕΛΙΝΟΣ</v>
      </c>
      <c r="M5" s="145"/>
      <c r="N5" s="146"/>
      <c r="P5" s="146"/>
      <c r="R5" s="146"/>
    </row>
    <row r="6" spans="1:19" x14ac:dyDescent="0.2">
      <c r="A6" s="310"/>
      <c r="B6" s="240"/>
      <c r="C6" s="241"/>
      <c r="D6" s="242"/>
      <c r="E6" s="243"/>
      <c r="F6" s="312"/>
      <c r="G6" s="244">
        <f>IF([6]Setup!$B$24="#",0,IF(F5&gt;0,VLOOKUP(F5,[6]DrawPrep!$A$3:$I$34,7,FALSE),0))</f>
        <v>18</v>
      </c>
      <c r="H6" s="245" t="str">
        <f>IF(G6&gt;0,VLOOKUP(G6,[6]DrawPrep!$G$3:$I$34,2,FALSE)," ")</f>
        <v>ΓΕΜΟΥΧΙΔΗΣ ΠΑΡΙΣ</v>
      </c>
      <c r="I6" s="246" t="str">
        <f>IF(G6&gt;0,LEFT(H6,FIND(" ",H6)-1),"")</f>
        <v>ΓΕΜΟΥΧΙΔΗΣ</v>
      </c>
      <c r="J6" s="247">
        <f>IF($G6&gt;0,VLOOKUP($G6,[6]DrawPrep!$G$3:$I$34,3,FALSE),"")</f>
        <v>0</v>
      </c>
      <c r="K6" s="172">
        <v>1</v>
      </c>
      <c r="L6" s="217" t="str">
        <f>UPPER(IF($A$2="R",IF(OR(K6=1,K6="a"),G6,IF(OR(K6=2,K6="b"),G8,"")),IF(OR(K6=1,K6="1"),I6,IF(OR(K6=2,K6="b"),I8,""))))</f>
        <v>ΓΕΜΟΥΧΙΔΗΣ</v>
      </c>
      <c r="M6" s="145"/>
      <c r="N6" s="146"/>
      <c r="P6" s="146"/>
      <c r="R6" s="146"/>
    </row>
    <row r="7" spans="1:19" x14ac:dyDescent="0.2">
      <c r="A7" s="309">
        <v>2</v>
      </c>
      <c r="B7" s="248">
        <f>1-D7+8</f>
        <v>8</v>
      </c>
      <c r="C7" s="249">
        <v>1</v>
      </c>
      <c r="D7" s="250">
        <f>E7</f>
        <v>1</v>
      </c>
      <c r="E7" s="251">
        <f>IF($B$2&gt;=C7,1,0)</f>
        <v>1</v>
      </c>
      <c r="F7" s="311" t="str">
        <f>IF($B$2&gt;=C7,"-",VLOOKUP($B7,[6]Setup!$K$2:$L$33,2,FALSE))</f>
        <v>-</v>
      </c>
      <c r="G7" s="139">
        <f>IF([6]Setup!$B$24="#",0,IF(NOT(F7="-"),VLOOKUP(F7,[6]DrawPrep!$A$3:$I$34,3,FALSE),0))</f>
        <v>0</v>
      </c>
      <c r="H7" s="252" t="str">
        <f>IF(G7&gt;0,VLOOKUP(G7,[6]DrawPrep!$C$3:$G$34,2,FALSE),"bye")</f>
        <v>bye</v>
      </c>
      <c r="I7" s="238" t="str">
        <f t="shared" ref="I7:I36" si="0">IF(G7&gt;0,LEFT(H7,FIND(" ",H7)-1),"")</f>
        <v/>
      </c>
      <c r="J7" s="253" t="str">
        <f>IF($G7&gt;0,VLOOKUP($G7,[6]DrawPrep!$C$3:$E$34,3,FALSE),"")</f>
        <v/>
      </c>
      <c r="K7" s="129"/>
      <c r="L7" s="158"/>
      <c r="M7" s="114"/>
      <c r="N7" s="217" t="str">
        <f>UPPER(IF($A$2="R",IF(OR(M8=1,M8="a"),L5,IF(OR(M8=2,M7="b"),L9,"")),IF(OR(M8=1,M8="a"),L5,IF(OR(M8=2,M8="b"),L9,""))))</f>
        <v/>
      </c>
      <c r="O7" s="145"/>
      <c r="P7" s="146"/>
      <c r="R7" s="146"/>
    </row>
    <row r="8" spans="1:19" x14ac:dyDescent="0.2">
      <c r="A8" s="310"/>
      <c r="B8" s="254"/>
      <c r="C8" s="255"/>
      <c r="D8" s="256"/>
      <c r="E8" s="257"/>
      <c r="F8" s="312"/>
      <c r="G8" s="154">
        <f>IF([6]Setup!$B$24="#",0,IF(NOT(F7="-"),VLOOKUP(F7,[6]DrawPrep!$A$3:$I$34,7,FALSE),0))</f>
        <v>0</v>
      </c>
      <c r="H8" s="144" t="str">
        <f>IF(G8&gt;0,VLOOKUP(G8,[6]DrawPrep!$G$3:$I$34,2,FALSE)," ")</f>
        <v xml:space="preserve"> </v>
      </c>
      <c r="I8" s="246" t="str">
        <f t="shared" si="0"/>
        <v/>
      </c>
      <c r="J8" s="156" t="str">
        <f>IF($G8&gt;0,VLOOKUP($G8,[6]DrawPrep!$G$3:$I$34,3,FALSE),"")</f>
        <v/>
      </c>
      <c r="K8" s="129"/>
      <c r="L8" s="171"/>
      <c r="M8" s="143"/>
      <c r="N8" s="217" t="str">
        <f>UPPER(IF($A$2="R",IF(OR(M8=1,M8="a"),L6,IF(OR(M8=2,M8="b"),L10,"")),IF(OR(M8=1,M8="a"),L6,IF(OR(M8=2,M8="b"),L10,""))))</f>
        <v/>
      </c>
      <c r="O8" s="145"/>
      <c r="P8" s="146"/>
      <c r="R8" s="146"/>
    </row>
    <row r="9" spans="1:19" x14ac:dyDescent="0.2">
      <c r="A9" s="313">
        <v>3</v>
      </c>
      <c r="B9" s="258">
        <f>2-D9+8</f>
        <v>9</v>
      </c>
      <c r="C9" s="259"/>
      <c r="D9" s="260">
        <f>D7+E9</f>
        <v>1</v>
      </c>
      <c r="E9" s="260">
        <v>0</v>
      </c>
      <c r="F9" s="315">
        <v>14</v>
      </c>
      <c r="G9" s="261">
        <f>IF([6]Setup!$B$24="#",0,IF(F9&gt;0,VLOOKUP(F9,[6]DrawPrep!$A$3:$I$34,3,FALSE),0))</f>
        <v>16</v>
      </c>
      <c r="H9" s="262" t="str">
        <f>IF(G9&gt;0,VLOOKUP(G9,[6]DrawPrep!$C$3:$G$34,2,FALSE),"bye")</f>
        <v>ΠΕΡΔΙΚΟΓΙΑΝΝΗΣ ΣΤΕΛΙΟΣ</v>
      </c>
      <c r="I9" s="263" t="str">
        <f t="shared" si="0"/>
        <v>ΠΕΡΔΙΚΟΓΙΑΝΝΗΣ</v>
      </c>
      <c r="J9" s="264">
        <f>IF($G9&gt;0,VLOOKUP($G9,[6]DrawPrep!$C$3:$E$34,3,FALSE),"")</f>
        <v>0</v>
      </c>
      <c r="K9" s="114"/>
      <c r="L9" s="217" t="str">
        <f>UPPER(IF($A$2="R",IF(OR(K10=1,K10="a"),G9,IF(OR(K10=2,K10="b"),G11,"")),IF(OR(K10=1,K10="1"),I9,IF(OR(K10=2,K10="b"),I11,""))))</f>
        <v/>
      </c>
      <c r="M9" s="191"/>
      <c r="N9" s="158"/>
      <c r="O9" s="145"/>
      <c r="P9" s="146"/>
      <c r="R9" s="146"/>
    </row>
    <row r="10" spans="1:19" x14ac:dyDescent="0.2">
      <c r="A10" s="314"/>
      <c r="B10" s="265"/>
      <c r="C10" s="266"/>
      <c r="D10" s="267"/>
      <c r="E10" s="267"/>
      <c r="F10" s="316"/>
      <c r="G10" s="268">
        <f>IF([6]Setup!$B$24="#",0,IF(F9&gt;0,VLOOKUP(F9,[6]DrawPrep!$A$3:$I$34,7,FALSE),0))</f>
        <v>33</v>
      </c>
      <c r="H10" s="269" t="str">
        <f>IF(G10&gt;0,VLOOKUP(G10,[6]DrawPrep!$G$3:$I$34,2,FALSE)," ")</f>
        <v>ΣΚΑΛΙΔΑΚΗΣ ΔΗΜΗΤΡΗΣ</v>
      </c>
      <c r="I10" s="270" t="str">
        <f t="shared" si="0"/>
        <v>ΣΚΑΛΙΔΑΚΗΣ</v>
      </c>
      <c r="J10" s="271">
        <f>IF($G10&gt;0,VLOOKUP($G10,[6]DrawPrep!$G$3:$I$34,3,FALSE),"")</f>
        <v>0</v>
      </c>
      <c r="K10" s="172"/>
      <c r="L10" s="156" t="str">
        <f>UPPER(IF($A$2="R",IF(OR(K10=1,K10="a"),G10,IF(OR(K10=2,K10="b"),G12,"")),IF(OR(K10=1,K10="1"),I10,IF(OR(K10=2,K10="b"),I12,""))))</f>
        <v/>
      </c>
      <c r="M10" s="191"/>
      <c r="N10" s="171"/>
      <c r="O10" s="145"/>
      <c r="P10" s="146"/>
      <c r="R10" s="146"/>
    </row>
    <row r="11" spans="1:19" x14ac:dyDescent="0.2">
      <c r="A11" s="313">
        <v>4</v>
      </c>
      <c r="B11" s="258">
        <f>3-D11+8</f>
        <v>10</v>
      </c>
      <c r="C11" s="259">
        <v>15</v>
      </c>
      <c r="D11" s="260">
        <f>D9+E11</f>
        <v>1</v>
      </c>
      <c r="E11" s="260">
        <f>IF($B$2&gt;=C11,1,0)</f>
        <v>0</v>
      </c>
      <c r="F11" s="315">
        <f>IF($B$2&gt;=C11,"-",VLOOKUP($B11,[6]Setup!$K$2:$L$33,2,FALSE))</f>
        <v>12</v>
      </c>
      <c r="G11" s="261">
        <f>IF([6]Setup!$B$24="#",0,IF(NOT(F11="-"),VLOOKUP(F11,[6]DrawPrep!$A$3:$I$34,3,FALSE),0))</f>
        <v>11</v>
      </c>
      <c r="H11" s="262" t="str">
        <f>IF(G11&gt;0,VLOOKUP(G11,[6]DrawPrep!$C$3:$G$34,2,FALSE),"bye")</f>
        <v>ΒΟΪΝΕΑ ΑΛΕΞΑΝΔΡΟΣ</v>
      </c>
      <c r="I11" s="263" t="str">
        <f t="shared" si="0"/>
        <v>ΒΟΪΝΕΑ</v>
      </c>
      <c r="J11" s="264">
        <f>IF($G11&gt;0,VLOOKUP($G11,[6]DrawPrep!$C$3:$E$34,3,FALSE),"")</f>
        <v>0</v>
      </c>
      <c r="K11" s="129"/>
      <c r="L11" s="178"/>
      <c r="M11" s="145"/>
      <c r="N11" s="171"/>
      <c r="O11" s="114"/>
      <c r="P11" s="217" t="str">
        <f>UPPER(IF($A$2="R",IF(OR(O12=1,O12="a"),N7,IF(OR(O12=2,O12="b"),N15,"")),IF(OR(O12=1,O12="a"),N7,IF(OR(O12=2,O12="b"),N15,""))))</f>
        <v/>
      </c>
      <c r="R11" s="146"/>
    </row>
    <row r="12" spans="1:19" x14ac:dyDescent="0.2">
      <c r="A12" s="314"/>
      <c r="B12" s="265"/>
      <c r="C12" s="266"/>
      <c r="D12" s="267"/>
      <c r="E12" s="267"/>
      <c r="F12" s="316"/>
      <c r="G12" s="268">
        <f>IF([6]Setup!$B$24="#",0,IF(NOT(F11="-"),VLOOKUP(F11,[6]DrawPrep!$A$3:$I$34,7,FALSE),0))</f>
        <v>28</v>
      </c>
      <c r="H12" s="269" t="str">
        <f>IF(G12&gt;0,VLOOKUP(G12,[6]DrawPrep!$G$3:$I$34,2,FALSE)," ")</f>
        <v>ΚΑΠΙΡΗΣ ΣΤΑΜΑΤΗΣ</v>
      </c>
      <c r="I12" s="270" t="str">
        <f t="shared" si="0"/>
        <v>ΚΑΠΙΡΗΣ</v>
      </c>
      <c r="J12" s="271">
        <f>IF($G12&gt;0,VLOOKUP($G12,[6]DrawPrep!$G$3:$I$34,3,FALSE),"")</f>
        <v>0</v>
      </c>
      <c r="K12" s="129"/>
      <c r="L12" s="118"/>
      <c r="M12" s="145"/>
      <c r="N12" s="171"/>
      <c r="O12" s="172"/>
      <c r="P12" s="217" t="str">
        <f>UPPER(IF($A$2="R",IF(OR(O12=1,O12="a"),N8,IF(OR(O12=2,O12="b"),N16,"")),IF(OR(O12=1,O12="a"),N8,IF(OR(O12=2,O12="b"),N16,""))))</f>
        <v/>
      </c>
      <c r="R12" s="146"/>
    </row>
    <row r="13" spans="1:19" x14ac:dyDescent="0.2">
      <c r="A13" s="309">
        <v>5</v>
      </c>
      <c r="B13" s="248">
        <f>4-D13+8</f>
        <v>11</v>
      </c>
      <c r="C13" s="272"/>
      <c r="D13" s="250">
        <f>D11+E13</f>
        <v>1</v>
      </c>
      <c r="E13" s="273">
        <v>0</v>
      </c>
      <c r="F13" s="311">
        <f>VLOOKUP($B13,[6]Setup!$K$2:$L$33,2,FALSE)</f>
        <v>15</v>
      </c>
      <c r="G13" s="139">
        <f>IF([6]Setup!$B$24="#",0,IF(F13&gt;0,VLOOKUP(F13,[6]DrawPrep!$A$3:$I$34,3,FALSE),0))</f>
        <v>14</v>
      </c>
      <c r="H13" s="252" t="str">
        <f>IF(G13&gt;0,VLOOKUP(G13,[6]DrawPrep!$C$3:$G$34,2,FALSE),"bye")</f>
        <v>ΚΑΖΑΝΤΖΗΣ ΜΙΧΑΛΗΣ-ΤΟΥΒ</v>
      </c>
      <c r="I13" s="238" t="str">
        <f t="shared" si="0"/>
        <v>ΚΑΖΑΝΤΖΗΣ</v>
      </c>
      <c r="J13" s="253">
        <f>IF($G13&gt;0,VLOOKUP($G13,[6]DrawPrep!$C$3:$E$34,3,FALSE),"")</f>
        <v>0</v>
      </c>
      <c r="K13" s="114"/>
      <c r="L13" s="217" t="str">
        <f>UPPER(IF($A$2="R",IF(OR(K14=1,K14="a"),G13,IF(OR(K14=2,K14="b"),G15,"")),IF(OR(K14=1,K14="1"),I13,IF(OR(K14=2,K14="b"),I15,""))))</f>
        <v>ΚΑΖΑΝΤΖΗΣ</v>
      </c>
      <c r="M13" s="145"/>
      <c r="N13" s="171"/>
      <c r="O13" s="157"/>
      <c r="P13" s="158"/>
      <c r="R13" s="146"/>
    </row>
    <row r="14" spans="1:19" x14ac:dyDescent="0.2">
      <c r="A14" s="310"/>
      <c r="B14" s="254"/>
      <c r="C14" s="274"/>
      <c r="D14" s="256"/>
      <c r="E14" s="275"/>
      <c r="F14" s="312"/>
      <c r="G14" s="154">
        <f>IF([6]Setup!$B$24="#",0,IF(F13&gt;0,VLOOKUP(F13,[6]DrawPrep!$A$3:$I$34,7,FALSE),0))</f>
        <v>31</v>
      </c>
      <c r="H14" s="144" t="str">
        <f>IF(G14&gt;0,VLOOKUP(G14,[6]DrawPrep!$G$3:$I$34,2,FALSE)," ")</f>
        <v>ΚΑΠΤΕΚΙ ΑΛΕΞΑΝΔΡΟΣ</v>
      </c>
      <c r="I14" s="246" t="str">
        <f t="shared" si="0"/>
        <v>ΚΑΠΤΕΚΙ</v>
      </c>
      <c r="J14" s="156">
        <f>IF($G14&gt;0,VLOOKUP($G14,[6]DrawPrep!$G$3:$I$34,3,FALSE),"")</f>
        <v>0</v>
      </c>
      <c r="K14" s="224">
        <v>1</v>
      </c>
      <c r="L14" s="217" t="str">
        <f>UPPER(IF($A$2="R",IF(OR(K14=1,K14="a"),G14,IF(OR(K14=2,K14="b"),G16,"")),IF(OR(K14=1,K14="1"),I14,IF(OR(K14=2,K14="b"),I16,""))))</f>
        <v>ΚΑΠΤΕΚΙ</v>
      </c>
      <c r="M14" s="145"/>
      <c r="N14" s="171"/>
      <c r="O14" s="145"/>
      <c r="P14" s="171"/>
      <c r="R14" s="146"/>
    </row>
    <row r="15" spans="1:19" x14ac:dyDescent="0.2">
      <c r="A15" s="309">
        <v>6</v>
      </c>
      <c r="B15" s="248">
        <f>5-D15+8</f>
        <v>11</v>
      </c>
      <c r="C15" s="249">
        <v>9</v>
      </c>
      <c r="D15" s="250">
        <f>D13+E15</f>
        <v>2</v>
      </c>
      <c r="E15" s="251">
        <f>IF($B$2&gt;=C15,1,0)</f>
        <v>1</v>
      </c>
      <c r="F15" s="311" t="str">
        <f>IF($B$2&gt;=C15,"-",VLOOKUP($B15,[6]Setup!$K$2:$L$33,2,FALSE))</f>
        <v>-</v>
      </c>
      <c r="G15" s="139">
        <f>IF([6]Setup!$B$24="#",0,IF(NOT(F15="-"),VLOOKUP(F15,[6]DrawPrep!$A$3:$I$34,3,FALSE),0))</f>
        <v>0</v>
      </c>
      <c r="H15" s="252" t="str">
        <f>IF(G15&gt;0,VLOOKUP(G15,[6]DrawPrep!$C$3:$G$34,2,FALSE),"bye")</f>
        <v>bye</v>
      </c>
      <c r="I15" s="238" t="str">
        <f t="shared" si="0"/>
        <v/>
      </c>
      <c r="J15" s="253" t="str">
        <f>IF($G15&gt;0,VLOOKUP($G15,[6]DrawPrep!$C$3:$E$34,3,FALSE),"")</f>
        <v/>
      </c>
      <c r="K15" s="157"/>
      <c r="L15" s="158"/>
      <c r="M15" s="114"/>
      <c r="N15" s="188" t="str">
        <f>UPPER(IF($A$2="R",IF(OR(M16=1,M16="a"),L13,IF(OR(M16=2,M15="b"),L17,"")),IF(OR(M16=1,M16="a"),L13,IF(OR(M16=2,M16="b"),L17,""))))</f>
        <v/>
      </c>
      <c r="O15" s="145"/>
      <c r="P15" s="171"/>
      <c r="R15" s="146"/>
    </row>
    <row r="16" spans="1:19" x14ac:dyDescent="0.2">
      <c r="A16" s="310"/>
      <c r="B16" s="254"/>
      <c r="C16" s="255"/>
      <c r="D16" s="256"/>
      <c r="E16" s="257"/>
      <c r="F16" s="312"/>
      <c r="G16" s="154">
        <f>IF([6]Setup!$B$24="#",0,IF(NOT(F15="-"),VLOOKUP(F15,[6]DrawPrep!$A$3:$I$34,7,FALSE),0))</f>
        <v>0</v>
      </c>
      <c r="H16" s="144" t="str">
        <f>IF(G16&gt;0,VLOOKUP(G16,[6]DrawPrep!$G$3:$I$34,2,FALSE)," ")</f>
        <v xml:space="preserve"> </v>
      </c>
      <c r="I16" s="246" t="str">
        <f t="shared" si="0"/>
        <v/>
      </c>
      <c r="J16" s="156" t="str">
        <f>IF($G16&gt;0,VLOOKUP($G16,[6]DrawPrep!$G$3:$I$34,3,FALSE),"")</f>
        <v/>
      </c>
      <c r="K16" s="129"/>
      <c r="L16" s="171"/>
      <c r="M16" s="172"/>
      <c r="N16" s="156" t="str">
        <f>UPPER(IF($A$2="R",IF(OR(M16=1,M16="a"),L14,IF(OR(M16=2,M16="b"),L18,"")),IF(OR(M16=1,M16="a"),L14,IF(OR(M16=2,M16="b"),L18,""))))</f>
        <v/>
      </c>
      <c r="O16" s="145"/>
      <c r="P16" s="171"/>
      <c r="R16" s="146"/>
    </row>
    <row r="17" spans="1:18" x14ac:dyDescent="0.2">
      <c r="A17" s="313">
        <v>7</v>
      </c>
      <c r="B17" s="258">
        <f>6-D17+8</f>
        <v>11</v>
      </c>
      <c r="C17" s="258">
        <f>VALUE([6]Setup!E5)</f>
        <v>8</v>
      </c>
      <c r="D17" s="260">
        <f>D15+E17</f>
        <v>3</v>
      </c>
      <c r="E17" s="260">
        <f>IF($B$2&gt;=C17,1,0)</f>
        <v>1</v>
      </c>
      <c r="F17" s="315" t="str">
        <f>IF($B$2&gt;=C17,"-",VLOOKUP($B17,[6]Setup!$K$2:$L$33,2,FALSE))</f>
        <v>-</v>
      </c>
      <c r="G17" s="261">
        <f>IF([6]Setup!$B$24="#",0,IF(NOT(F17="-"),VLOOKUP(F17,[6]DrawPrep!$A$3:$I$34,3,FALSE),0))</f>
        <v>0</v>
      </c>
      <c r="H17" s="262" t="str">
        <f>IF(G17&gt;0,VLOOKUP(G17,[6]DrawPrep!$C$3:$G$34,2,FALSE),"bye")</f>
        <v>bye</v>
      </c>
      <c r="I17" s="263" t="str">
        <f t="shared" si="0"/>
        <v/>
      </c>
      <c r="J17" s="264" t="str">
        <f>IF($G17&gt;0,VLOOKUP($G17,[6]DrawPrep!$C$3:$E$34,3,FALSE),"")</f>
        <v/>
      </c>
      <c r="K17" s="114"/>
      <c r="L17" s="188" t="str">
        <f>UPPER(IF($A$2="R",IF(OR(K18=1,K18="a"),G17,IF(OR(K18=2,K18="b"),G19,"")),IF(OR(K18=1,K18="1"),I17,IF(OR(K18=2,K18="b"),I19,""))))</f>
        <v>ΠΑΠΑΪΩΑΝΝΟΥ</v>
      </c>
      <c r="M17" s="129"/>
      <c r="N17" s="178"/>
      <c r="O17" s="145"/>
      <c r="P17" s="171"/>
      <c r="R17" s="146"/>
    </row>
    <row r="18" spans="1:18" x14ac:dyDescent="0.2">
      <c r="A18" s="314"/>
      <c r="B18" s="265"/>
      <c r="C18" s="266"/>
      <c r="D18" s="267"/>
      <c r="E18" s="267"/>
      <c r="F18" s="316"/>
      <c r="G18" s="268">
        <f>IF([6]Setup!$B$24="#",0,IF(NOT(F17="-"),VLOOKUP(F17,[6]DrawPrep!$A$3:$I$34,7,FALSE),0))</f>
        <v>0</v>
      </c>
      <c r="H18" s="269" t="str">
        <f>IF(G18&gt;0,VLOOKUP(G18,[6]DrawPrep!$G$3:$I$34,2,FALSE)," ")</f>
        <v xml:space="preserve"> </v>
      </c>
      <c r="I18" s="270" t="str">
        <f>IF(G18&gt;0,LEFT(H18,FIND(" ",H18)-1),"")</f>
        <v/>
      </c>
      <c r="J18" s="271" t="str">
        <f>IF($G18&gt;0,VLOOKUP($G18,[6]DrawPrep!$G$3:$I$34,3,FALSE),"")</f>
        <v/>
      </c>
      <c r="K18" s="172">
        <v>2</v>
      </c>
      <c r="L18" s="156" t="str">
        <f>UPPER(IF($A$2="R",IF(OR(K18=1,K18="a"),G18,IF(OR(K18=2,K18="b"),G20,"")),IF(OR(K18=1,K18="1"),I18,IF(OR(K18=2,K18="b"),I20,""))))</f>
        <v>ΠΑΠΑΓΕΩΡΓΙΟΥ</v>
      </c>
      <c r="M18" s="129"/>
      <c r="N18" s="146"/>
      <c r="O18" s="145"/>
      <c r="P18" s="171"/>
      <c r="R18" s="146"/>
    </row>
    <row r="19" spans="1:18" x14ac:dyDescent="0.2">
      <c r="A19" s="313">
        <v>8</v>
      </c>
      <c r="B19" s="258">
        <f>VALUE([6]Setup!E5)</f>
        <v>8</v>
      </c>
      <c r="C19" s="259"/>
      <c r="D19" s="260">
        <f>D17+E19</f>
        <v>3</v>
      </c>
      <c r="E19" s="260">
        <v>0</v>
      </c>
      <c r="F19" s="315">
        <f>VLOOKUP($B19,[6]Setup!$K$2:$L$33,2,FALSE)</f>
        <v>8</v>
      </c>
      <c r="G19" s="276">
        <f>IF([6]Setup!$B$24="#",0,IF(F19&gt;0,VLOOKUP(F19,[6]DrawPrep!$A$3:$I$34,3,FALSE),0))</f>
        <v>7</v>
      </c>
      <c r="H19" s="277" t="str">
        <f>IF(G19&gt;0,VLOOKUP(G19,[6]DrawPrep!$C$3:$G$34,2,FALSE),"bye")</f>
        <v>ΠΑΠΑΪΩΑΝΝΟΥ ΓΙΑΝΝΗΣ</v>
      </c>
      <c r="I19" s="263" t="str">
        <f t="shared" si="0"/>
        <v>ΠΑΠΑΪΩΑΝΝΟΥ</v>
      </c>
      <c r="J19" s="278">
        <f>IF($G19&gt;0,VLOOKUP($G19,[6]DrawPrep!$C$3:$E$34,3,FALSE),"")</f>
        <v>0</v>
      </c>
      <c r="K19" s="129"/>
      <c r="L19" s="146"/>
      <c r="N19" s="146"/>
      <c r="P19" s="171"/>
      <c r="Q19" s="129"/>
      <c r="R19" s="183" t="str">
        <f>UPPER(IF($A$2="R",IF(OR(Q20=1,Q20="a"),P11,IF(OR(Q20=2,Q20="b"),P27,"")),IF(OR(Q20=1,Q20="a"),P11,IF(OR(Q20=2,Q20="b"),P27,""))))</f>
        <v/>
      </c>
    </row>
    <row r="20" spans="1:18" x14ac:dyDescent="0.2">
      <c r="A20" s="314"/>
      <c r="B20" s="265"/>
      <c r="C20" s="266"/>
      <c r="D20" s="267"/>
      <c r="E20" s="267"/>
      <c r="F20" s="316"/>
      <c r="G20" s="279">
        <f>IF([6]Setup!$B$24="#",0,IF(F19&gt;0,VLOOKUP(F19,[6]DrawPrep!$A$3:$I$34,7,FALSE),0))</f>
        <v>24</v>
      </c>
      <c r="H20" s="280" t="str">
        <f>IF(G20&gt;0,VLOOKUP(G20,[6]DrawPrep!$G$3:$I$34,2,FALSE)," ")</f>
        <v>ΠΑΠΑΓΕΩΡΓΙΟΥ ΓΙΩΡΓΟΣ</v>
      </c>
      <c r="I20" s="270" t="str">
        <f t="shared" si="0"/>
        <v>ΠΑΠΑΓΕΩΡΓΙΟΥ</v>
      </c>
      <c r="J20" s="281">
        <f>IF($G20&gt;0,VLOOKUP($G20,[6]DrawPrep!$G$3:$I$34,3,FALSE),"")</f>
        <v>0</v>
      </c>
      <c r="K20" s="129"/>
      <c r="L20" s="146"/>
      <c r="N20" s="146"/>
      <c r="P20" s="171"/>
      <c r="Q20" s="143"/>
      <c r="R20" s="183" t="str">
        <f>UPPER(IF($A$2="R",IF(OR(Q20=1,Q20="a"),P12,IF(OR(Q20=2,Q20="b"),P28,"")),IF(OR(Q20=1,Q20="a"),P12,IF(OR(Q20=2,Q20="b"),P28,""))))</f>
        <v/>
      </c>
    </row>
    <row r="21" spans="1:18" x14ac:dyDescent="0.2">
      <c r="A21" s="309">
        <v>9</v>
      </c>
      <c r="B21" s="282">
        <f>VALUE([6]Setup!E2)</f>
        <v>3</v>
      </c>
      <c r="C21" s="272"/>
      <c r="D21" s="250">
        <f>D19+E21</f>
        <v>3</v>
      </c>
      <c r="E21" s="273">
        <v>0</v>
      </c>
      <c r="F21" s="311">
        <f>VLOOKUP($B21,[6]Setup!$K$2:$L$33,2,FALSE)</f>
        <v>3</v>
      </c>
      <c r="G21" s="140">
        <f>IF([6]Setup!$B$24="#",0,IF(F21&gt;0,VLOOKUP(F21,[6]DrawPrep!$A$3:$I$34,3,FALSE),0))</f>
        <v>2</v>
      </c>
      <c r="H21" s="237" t="str">
        <f>IF(G21&gt;0,VLOOKUP(G21,[6]DrawPrep!$C$3:$G$34,2,FALSE),"bye")</f>
        <v>ΣΤΕΡΓΙΟΥ ΘΑΝΑΣΗΣ</v>
      </c>
      <c r="I21" s="238" t="str">
        <f t="shared" si="0"/>
        <v>ΣΤΕΡΓΙΟΥ</v>
      </c>
      <c r="J21" s="142">
        <f>IF($G21&gt;0,VLOOKUP($G21,[6]DrawPrep!$C$3:$E$34,3,FALSE),"")</f>
        <v>0</v>
      </c>
      <c r="K21" s="114"/>
      <c r="L21" s="217" t="str">
        <f>UPPER(IF($A$2="R",IF(OR(K22=1,K22="a"),G21,IF(OR(K22=2,K22="b"),G23,"")),IF(OR(K22=1,K22="1"),I21,IF(OR(K22=2,K22="b"),I23,""))))</f>
        <v>ΣΤΕΡΓΙΟΥ</v>
      </c>
      <c r="M21" s="145"/>
      <c r="N21" s="146"/>
      <c r="P21" s="171"/>
      <c r="R21" s="174"/>
    </row>
    <row r="22" spans="1:18" x14ac:dyDescent="0.2">
      <c r="A22" s="310"/>
      <c r="B22" s="283"/>
      <c r="C22" s="274"/>
      <c r="D22" s="256"/>
      <c r="E22" s="275"/>
      <c r="F22" s="312"/>
      <c r="G22" s="244">
        <f>IF([6]Setup!$B$24="#",0,IF(F21&gt;0,VLOOKUP(F21,[6]DrawPrep!$A$3:$I$34,7,FALSE),0))</f>
        <v>19</v>
      </c>
      <c r="H22" s="245" t="str">
        <f>IF(G22&gt;0,VLOOKUP(G22,[6]DrawPrep!$G$3:$I$34,2,FALSE)," ")</f>
        <v>ΠΑΥΛΗΣ ΑΝΑΣΤΑΣΙΟΣ</v>
      </c>
      <c r="I22" s="246" t="str">
        <f t="shared" si="0"/>
        <v>ΠΑΥΛΗΣ</v>
      </c>
      <c r="J22" s="284">
        <f>IF($G22&gt;0,VLOOKUP($G22,[6]DrawPrep!$G$3:$I$34,3,FALSE),"")</f>
        <v>0</v>
      </c>
      <c r="K22" s="172">
        <v>1</v>
      </c>
      <c r="L22" s="217" t="str">
        <f>UPPER(IF($A$2="R",IF(OR(K22=1,K22="a"),G22,IF(OR(K22=2,K22="b"),G24,"")),IF(OR(K22=1,K22="1"),I22,IF(OR(K22=2,K22="b"),I24,""))))</f>
        <v>ΠΑΥΛΗΣ</v>
      </c>
      <c r="M22" s="145"/>
      <c r="N22" s="146"/>
      <c r="P22" s="171"/>
      <c r="R22" s="177"/>
    </row>
    <row r="23" spans="1:18" x14ac:dyDescent="0.2">
      <c r="A23" s="309">
        <v>10</v>
      </c>
      <c r="B23" s="248">
        <f>7-D23+8</f>
        <v>11</v>
      </c>
      <c r="C23" s="282">
        <f>VALUE([6]Setup!E2)</f>
        <v>3</v>
      </c>
      <c r="D23" s="250">
        <f>D21+E23</f>
        <v>4</v>
      </c>
      <c r="E23" s="251">
        <f>IF($B$2&gt;=C23,1,0)</f>
        <v>1</v>
      </c>
      <c r="F23" s="311" t="str">
        <f>IF($B$2&gt;=C23,"-",VLOOKUP($B23,[6]Setup!$K$2:$L$33,2,FALSE))</f>
        <v>-</v>
      </c>
      <c r="G23" s="139">
        <f>IF([6]Setup!$B$24="#",0,IF(NOT(F23="-"),VLOOKUP(F23,[6]DrawPrep!$A$3:$I$34,3,FALSE),0))</f>
        <v>0</v>
      </c>
      <c r="H23" s="252" t="str">
        <f>IF(G23&gt;0,VLOOKUP(G23,[6]DrawPrep!$C$3:$G$34,2,FALSE),"bye")</f>
        <v>bye</v>
      </c>
      <c r="I23" s="238" t="str">
        <f t="shared" si="0"/>
        <v/>
      </c>
      <c r="J23" s="253" t="str">
        <f>IF($G23&gt;0,VLOOKUP($G23,[6]DrawPrep!$C$3:$E$34,3,FALSE),"")</f>
        <v/>
      </c>
      <c r="K23" s="129"/>
      <c r="L23" s="158"/>
      <c r="M23" s="114"/>
      <c r="N23" s="217" t="str">
        <f>UPPER(IF($A$2="R",IF(OR(M24=1,M24="a"),L21,IF(OR(M24=2,M23="b"),L25,"")),IF(OR(M24=1,M24="a"),L21,IF(OR(M24=2,M24="b"),L25,""))))</f>
        <v/>
      </c>
      <c r="O23" s="145"/>
      <c r="P23" s="171"/>
      <c r="R23" s="177"/>
    </row>
    <row r="24" spans="1:18" x14ac:dyDescent="0.2">
      <c r="A24" s="310"/>
      <c r="B24" s="254"/>
      <c r="C24" s="285"/>
      <c r="D24" s="256"/>
      <c r="E24" s="257"/>
      <c r="F24" s="312"/>
      <c r="G24" s="154">
        <f>IF([6]Setup!$B$24="#",0,IF(NOT(F23="-"),VLOOKUP(F23,[6]DrawPrep!$A$3:$I$34,7,FALSE),0))</f>
        <v>0</v>
      </c>
      <c r="H24" s="144" t="str">
        <f>IF(G24&gt;0,VLOOKUP(G24,[6]DrawPrep!$G$3:$I$34,2,FALSE)," ")</f>
        <v xml:space="preserve"> </v>
      </c>
      <c r="I24" s="246" t="str">
        <f t="shared" si="0"/>
        <v/>
      </c>
      <c r="J24" s="156" t="str">
        <f>IF($G24&gt;0,VLOOKUP($G24,[6]DrawPrep!$G$3:$I$34,3,FALSE),"")</f>
        <v/>
      </c>
      <c r="K24" s="129"/>
      <c r="L24" s="171"/>
      <c r="M24" s="143"/>
      <c r="N24" s="217" t="str">
        <f>UPPER(IF($A$2="R",IF(OR(M24=1,M24="a"),L22,IF(OR(M24=2,M24="b"),L26,"")),IF(OR(M24=1,M24="a"),L22,IF(OR(M24=2,M24="b"),L26,""))))</f>
        <v/>
      </c>
      <c r="O24" s="145"/>
      <c r="P24" s="171"/>
      <c r="R24" s="177"/>
    </row>
    <row r="25" spans="1:18" x14ac:dyDescent="0.2">
      <c r="A25" s="313">
        <v>11</v>
      </c>
      <c r="B25" s="258">
        <f>8-D25+8</f>
        <v>12</v>
      </c>
      <c r="C25" s="259"/>
      <c r="D25" s="260">
        <f>D23+E25</f>
        <v>4</v>
      </c>
      <c r="E25" s="260">
        <v>0</v>
      </c>
      <c r="F25" s="315">
        <f>VLOOKUP($B25,[6]Setup!$K$2:$L$33,2,FALSE)</f>
        <v>9</v>
      </c>
      <c r="G25" s="261">
        <f>IF([6]Setup!$B$24="#",0,IF(F25&gt;0,VLOOKUP(F25,[6]DrawPrep!$A$3:$I$34,3,FALSE),0))</f>
        <v>9</v>
      </c>
      <c r="H25" s="262" t="str">
        <f>IF(G25&gt;0,VLOOKUP(G25,[6]DrawPrep!$C$3:$G$34,2,FALSE),"bye")</f>
        <v>ΜΠΙΣΜΠΙΚΟΣ ΝΙΚΟΛΑΣ</v>
      </c>
      <c r="I25" s="263" t="str">
        <f t="shared" si="0"/>
        <v>ΜΠΙΣΜΠΙΚΟΣ</v>
      </c>
      <c r="J25" s="264">
        <f>IF($G25&gt;0,VLOOKUP($G25,[6]DrawPrep!$C$3:$E$34,3,FALSE),"")</f>
        <v>0</v>
      </c>
      <c r="K25" s="114"/>
      <c r="L25" s="217" t="str">
        <f>UPPER(IF($A$2="R",IF(OR(K26=1,K26="a"),G25,IF(OR(K26=2,K26="b"),G27,"")),IF(OR(K26=1,K26="1"),I25,IF(OR(K26=2,K26="b"),I27,""))))</f>
        <v>ΜΠΙΣΜΠΙΚΟΣ</v>
      </c>
      <c r="M25" s="191"/>
      <c r="N25" s="158"/>
      <c r="O25" s="145"/>
      <c r="P25" s="171"/>
      <c r="R25" s="177"/>
    </row>
    <row r="26" spans="1:18" x14ac:dyDescent="0.2">
      <c r="A26" s="314"/>
      <c r="B26" s="265"/>
      <c r="C26" s="266"/>
      <c r="D26" s="267"/>
      <c r="E26" s="267"/>
      <c r="F26" s="316"/>
      <c r="G26" s="268">
        <f>IF([6]Setup!$B$24="#",0,IF(F25&gt;0,VLOOKUP(F25,[6]DrawPrep!$A$3:$I$34,7,FALSE),0))</f>
        <v>26</v>
      </c>
      <c r="H26" s="269" t="str">
        <f>IF(G26&gt;0,VLOOKUP(G26,[6]DrawPrep!$G$3:$I$34,2,FALSE)," ")</f>
        <v>ΜΠΙΣΜΠΙΚΟΣ ΠΙΕΡ</v>
      </c>
      <c r="I26" s="270" t="str">
        <f t="shared" si="0"/>
        <v>ΜΠΙΣΜΠΙΚΟΣ</v>
      </c>
      <c r="J26" s="271">
        <f>IF($G26&gt;0,VLOOKUP($G26,[6]DrawPrep!$G$3:$I$34,3,FALSE),"")</f>
        <v>0</v>
      </c>
      <c r="K26" s="172">
        <v>1</v>
      </c>
      <c r="L26" s="217" t="str">
        <f>UPPER(IF($A$2="R",IF(OR(K26=1,K26="a"),G26,IF(OR(K26=2,K26="b"),G28,"")),IF(OR(K26=1,K26="1"),I26,IF(OR(K26=2,K26="b"),I28,""))))</f>
        <v>ΜΠΙΣΜΠΙΚΟΣ</v>
      </c>
      <c r="M26" s="191"/>
      <c r="N26" s="171"/>
      <c r="O26" s="145"/>
      <c r="P26" s="171"/>
      <c r="R26" s="177"/>
    </row>
    <row r="27" spans="1:18" x14ac:dyDescent="0.2">
      <c r="A27" s="313">
        <v>12</v>
      </c>
      <c r="B27" s="258">
        <f>9-D27+8</f>
        <v>12</v>
      </c>
      <c r="C27" s="259">
        <v>13</v>
      </c>
      <c r="D27" s="260">
        <f>D25+E27</f>
        <v>5</v>
      </c>
      <c r="E27" s="260">
        <f>IF($B$2&gt;=C27,1,0)</f>
        <v>1</v>
      </c>
      <c r="F27" s="315" t="str">
        <f>IF($B$2&gt;=C27,"-",VLOOKUP($B27,[6]Setup!$K$2:$L$33,2,FALSE))</f>
        <v>-</v>
      </c>
      <c r="G27" s="261">
        <f>IF([6]Setup!$B$24="#",0,IF(NOT(F27="-"),VLOOKUP(F27,[6]DrawPrep!$A$3:$I$34,3,FALSE),0))</f>
        <v>0</v>
      </c>
      <c r="H27" s="262" t="str">
        <f>IF(G27&gt;0,VLOOKUP(G27,[6]DrawPrep!$C$3:$G$34,2,FALSE),"bye")</f>
        <v>bye</v>
      </c>
      <c r="I27" s="263" t="str">
        <f t="shared" si="0"/>
        <v/>
      </c>
      <c r="J27" s="264" t="str">
        <f>IF($G27&gt;0,VLOOKUP($G27,[6]DrawPrep!$C$3:$E$34,3,FALSE),"")</f>
        <v/>
      </c>
      <c r="K27" s="129"/>
      <c r="L27" s="178"/>
      <c r="M27" s="145"/>
      <c r="N27" s="171"/>
      <c r="O27" s="114"/>
      <c r="P27" s="188" t="str">
        <f>UPPER(IF($A$2="R",IF(OR(O28=1,O28="a"),N23,IF(OR(O28=2,O28="b"),N31,"")),IF(OR(O28=1,O28="a"),N23,IF(OR(O28=2,O28="b"),N31,""))))</f>
        <v/>
      </c>
      <c r="R27" s="177"/>
    </row>
    <row r="28" spans="1:18" x14ac:dyDescent="0.2">
      <c r="A28" s="314"/>
      <c r="B28" s="265"/>
      <c r="C28" s="266"/>
      <c r="D28" s="267"/>
      <c r="E28" s="267"/>
      <c r="F28" s="316"/>
      <c r="G28" s="268">
        <f>IF([6]Setup!$B$24="#",0,IF(NOT(F27="-"),VLOOKUP(F27,[6]DrawPrep!$A$3:$I$34,7,FALSE),0))</f>
        <v>0</v>
      </c>
      <c r="H28" s="269" t="str">
        <f>IF(G28&gt;0,VLOOKUP(G28,[6]DrawPrep!$G$3:$I$34,2,FALSE)," ")</f>
        <v xml:space="preserve"> </v>
      </c>
      <c r="I28" s="270" t="str">
        <f t="shared" si="0"/>
        <v/>
      </c>
      <c r="J28" s="271" t="str">
        <f>IF($G28&gt;0,VLOOKUP($G28,[6]DrawPrep!$G$3:$I$34,3,FALSE),"")</f>
        <v/>
      </c>
      <c r="K28" s="129"/>
      <c r="L28" s="118"/>
      <c r="M28" s="145"/>
      <c r="N28" s="171"/>
      <c r="O28" s="172"/>
      <c r="P28" s="156" t="str">
        <f>UPPER(IF($A$2="R",IF(OR(O28=1,O28="a"),N24,IF(OR(O28=2,O28="b"),N32,"")),IF(OR(O28=1,O28="a"),N24,IF(OR(O28=2,O28="b"),N32,""))))</f>
        <v/>
      </c>
      <c r="R28" s="177"/>
    </row>
    <row r="29" spans="1:18" x14ac:dyDescent="0.2">
      <c r="A29" s="309">
        <v>13</v>
      </c>
      <c r="B29" s="248">
        <f>10-D29+8</f>
        <v>13</v>
      </c>
      <c r="C29" s="272"/>
      <c r="D29" s="250">
        <f>D27+E29</f>
        <v>5</v>
      </c>
      <c r="E29" s="273">
        <v>0</v>
      </c>
      <c r="F29" s="311">
        <v>13</v>
      </c>
      <c r="G29" s="139">
        <f>IF([6]Setup!$B$24="#",0,IF(F29&gt;0,VLOOKUP(F29,[6]DrawPrep!$A$3:$I$34,3,FALSE),0))</f>
        <v>12</v>
      </c>
      <c r="H29" s="252" t="str">
        <f>IF(G29&gt;0,VLOOKUP(G29,[6]DrawPrep!$C$3:$G$34,2,FALSE),"bye")</f>
        <v>ΗΛΙΟΠΟΥΛΟΣ ΚΩΝΣΤΑΝΤΙΝΟΣ</v>
      </c>
      <c r="I29" s="238" t="str">
        <f t="shared" si="0"/>
        <v>ΗΛΙΟΠΟΥΛΟΣ</v>
      </c>
      <c r="J29" s="253">
        <f>IF($G29&gt;0,VLOOKUP($G29,[6]DrawPrep!$C$3:$E$34,3,FALSE),"")</f>
        <v>0</v>
      </c>
      <c r="K29" s="114"/>
      <c r="L29" s="217" t="str">
        <f>UPPER(IF($A$2="R",IF(OR(K30=1,K30="a"),G29,IF(OR(K30=2,K30="b"),G31,"")),IF(OR(K30=1,K30="1"),I29,IF(OR(K30=2,K30="b"),I31,""))))</f>
        <v>ΗΛΙΟΠΟΥΛΟΣ</v>
      </c>
      <c r="M29" s="145"/>
      <c r="N29" s="171"/>
      <c r="O29" s="129"/>
      <c r="P29" s="178"/>
      <c r="R29" s="177"/>
    </row>
    <row r="30" spans="1:18" x14ac:dyDescent="0.2">
      <c r="A30" s="310"/>
      <c r="B30" s="254"/>
      <c r="C30" s="274"/>
      <c r="D30" s="256"/>
      <c r="E30" s="275"/>
      <c r="F30" s="312"/>
      <c r="G30" s="154">
        <f>IF([6]Setup!$B$24="#",0,IF(F29&gt;0,VLOOKUP(F29,[6]DrawPrep!$A$3:$I$34,7,FALSE),0))</f>
        <v>29</v>
      </c>
      <c r="H30" s="144" t="str">
        <f>IF(G30&gt;0,VLOOKUP(G30,[6]DrawPrep!$G$3:$I$34,2,FALSE)," ")</f>
        <v>ΛΑΖΑΡΑΚΗΣ ΓΙΩΡΓΟΣ</v>
      </c>
      <c r="I30" s="246" t="str">
        <f t="shared" si="0"/>
        <v>ΛΑΖΑΡΑΚΗΣ</v>
      </c>
      <c r="J30" s="156">
        <f>IF($G30&gt;0,VLOOKUP($G30,[6]DrawPrep!$G$3:$I$34,3,FALSE),"")</f>
        <v>0</v>
      </c>
      <c r="K30" s="224">
        <v>1</v>
      </c>
      <c r="L30" s="217" t="str">
        <f>UPPER(IF($A$2="R",IF(OR(K30=1,K30="a"),G30,IF(OR(K30=2,K30="b"),G32,"")),IF(OR(K30=1,K30="1"),I30,IF(OR(K30=2,K30="b"),I32,""))))</f>
        <v>ΛΑΖΑΡΑΚΗΣ</v>
      </c>
      <c r="M30" s="145"/>
      <c r="N30" s="171"/>
      <c r="O30" s="145"/>
      <c r="P30" s="146"/>
      <c r="R30" s="177"/>
    </row>
    <row r="31" spans="1:18" x14ac:dyDescent="0.2">
      <c r="A31" s="309">
        <v>14</v>
      </c>
      <c r="B31" s="248">
        <f>11-D31+8</f>
        <v>13</v>
      </c>
      <c r="C31" s="249">
        <v>11</v>
      </c>
      <c r="D31" s="250">
        <f>D29+E31</f>
        <v>6</v>
      </c>
      <c r="E31" s="251">
        <f>IF($B$2&gt;=C31,1,0)</f>
        <v>1</v>
      </c>
      <c r="F31" s="311" t="str">
        <f>IF($B$2&gt;=C31,"-",VLOOKUP($B31,[6]Setup!$K$2:$L$33,2,FALSE))</f>
        <v>-</v>
      </c>
      <c r="G31" s="139">
        <f>IF([6]Setup!$B$24="#",0,IF(NOT(F31="-"),VLOOKUP(F31,[6]DrawPrep!$A$3:$I$34,3,FALSE),0))</f>
        <v>0</v>
      </c>
      <c r="H31" s="252" t="str">
        <f>IF(G31&gt;0,VLOOKUP(G31,[6]DrawPrep!$C$3:$G$34,2,FALSE),"bye")</f>
        <v>bye</v>
      </c>
      <c r="I31" s="238" t="str">
        <f t="shared" si="0"/>
        <v/>
      </c>
      <c r="J31" s="253" t="str">
        <f>IF($G31&gt;0,VLOOKUP($G31,[6]DrawPrep!$C$3:$E$34,3,FALSE),"")</f>
        <v/>
      </c>
      <c r="K31" s="157"/>
      <c r="L31" s="158"/>
      <c r="M31" s="114"/>
      <c r="N31" s="188" t="str">
        <f>UPPER(IF($A$2="R",IF(OR(M32=1,M32="a"),L29,IF(OR(M32=2,M31="b"),L33,"")),IF(OR(M32=1,M32="a"),L29,IF(OR(M32=2,M32="b"),L33,""))))</f>
        <v/>
      </c>
      <c r="O31" s="145"/>
      <c r="P31" s="146"/>
      <c r="R31" s="177"/>
    </row>
    <row r="32" spans="1:18" x14ac:dyDescent="0.2">
      <c r="A32" s="310"/>
      <c r="B32" s="254"/>
      <c r="C32" s="255"/>
      <c r="D32" s="256"/>
      <c r="E32" s="257"/>
      <c r="F32" s="312"/>
      <c r="G32" s="154">
        <f>IF([6]Setup!$B$24="#",0,IF(NOT(F31="-"),VLOOKUP(F31,[6]DrawPrep!$A$3:$I$34,7,FALSE),0))</f>
        <v>0</v>
      </c>
      <c r="H32" s="144" t="str">
        <f>IF(G32&gt;0,VLOOKUP(G32,[6]DrawPrep!$G$3:$I$34,2,FALSE)," ")</f>
        <v xml:space="preserve"> </v>
      </c>
      <c r="I32" s="246" t="str">
        <f t="shared" si="0"/>
        <v/>
      </c>
      <c r="J32" s="156" t="str">
        <f>IF($G32&gt;0,VLOOKUP($G32,[6]DrawPrep!$G$3:$I$34,3,FALSE),"")</f>
        <v/>
      </c>
      <c r="K32" s="129"/>
      <c r="L32" s="171"/>
      <c r="M32" s="172"/>
      <c r="N32" s="156" t="str">
        <f>UPPER(IF($A$2="R",IF(OR(M32=1,M32="a"),L30,IF(OR(M32=2,M32="b"),L34,"")),IF(OR(M32=1,M32="a"),L30,IF(OR(M32=2,M32="b"),L34,""))))</f>
        <v/>
      </c>
      <c r="O32" s="145"/>
      <c r="P32" s="146"/>
      <c r="R32" s="177"/>
    </row>
    <row r="33" spans="1:18" x14ac:dyDescent="0.2">
      <c r="A33" s="313">
        <v>15</v>
      </c>
      <c r="B33" s="258">
        <f>12-D33+8</f>
        <v>13</v>
      </c>
      <c r="C33" s="258">
        <f>VALUE([6]Setup!E6)</f>
        <v>6</v>
      </c>
      <c r="D33" s="260">
        <f>D31+E33</f>
        <v>7</v>
      </c>
      <c r="E33" s="260">
        <f>IF($B$2&gt;=C33,1,0)</f>
        <v>1</v>
      </c>
      <c r="F33" s="315" t="str">
        <f>IF($B$2&gt;=C33,"-",VLOOKUP($B33,[6]Setup!$K$2:$L$33,2,FALSE))</f>
        <v>-</v>
      </c>
      <c r="G33" s="261">
        <f>IF([6]Setup!$B$24="#",0,IF(NOT(F33="-"),VLOOKUP(F33,[6]DrawPrep!$A$3:$I$34,3,FALSE),0))</f>
        <v>0</v>
      </c>
      <c r="H33" s="262" t="str">
        <f>IF(G33&gt;0,VLOOKUP(G33,[6]DrawPrep!$C$3:$G$34,2,FALSE),"bye")</f>
        <v>bye</v>
      </c>
      <c r="I33" s="263" t="str">
        <f t="shared" si="0"/>
        <v/>
      </c>
      <c r="J33" s="264" t="str">
        <f>IF($G33&gt;0,VLOOKUP($G33,[6]DrawPrep!$C$3:$E$34,3,FALSE),"")</f>
        <v/>
      </c>
      <c r="K33" s="114"/>
      <c r="L33" s="217" t="str">
        <f>UPPER(IF($A$2="R",IF(OR(K34=1,K34="a"),G33,IF(OR(K34=2,K34="b"),G35,"")),IF(OR(K34=1,K34="1"),I33,IF(OR(K34=2,K34="b"),I35,""))))</f>
        <v>ΒΕΝΕΤΗΣ</v>
      </c>
      <c r="M33" s="191"/>
      <c r="N33" s="178"/>
      <c r="O33" s="145"/>
      <c r="P33" s="146"/>
      <c r="R33" s="177"/>
    </row>
    <row r="34" spans="1:18" x14ac:dyDescent="0.2">
      <c r="A34" s="314"/>
      <c r="B34" s="265"/>
      <c r="C34" s="266"/>
      <c r="D34" s="267"/>
      <c r="E34" s="267"/>
      <c r="F34" s="316"/>
      <c r="G34" s="268">
        <f>IF([6]Setup!$B$24="#",0,IF(NOT(F33="-"),VLOOKUP(F33,[6]DrawPrep!$A$3:$I$34,7,FALSE),0))</f>
        <v>0</v>
      </c>
      <c r="H34" s="269" t="str">
        <f>IF(G34&gt;0,VLOOKUP(G34,[6]DrawPrep!$G$3:$I$34,2,FALSE)," ")</f>
        <v xml:space="preserve"> </v>
      </c>
      <c r="I34" s="270" t="str">
        <f t="shared" si="0"/>
        <v/>
      </c>
      <c r="J34" s="271" t="str">
        <f>IF($G34&gt;0,VLOOKUP($G34,[6]DrawPrep!$G$3:$I$34,3,FALSE),"")</f>
        <v/>
      </c>
      <c r="K34" s="172">
        <v>2</v>
      </c>
      <c r="L34" s="156" t="str">
        <f>UPPER(IF($A$2="R",IF(OR(K34=1,K34="a"),G34,IF(OR(K34=2,K34="b"),G36,"")),IF(OR(K34=1,K34="1"),I34,IF(OR(K34=2,K34="b"),I36,""))))</f>
        <v>ΑΝΔΡΟΥΤΣΕΛΗΣ</v>
      </c>
      <c r="M34" s="191"/>
      <c r="N34" s="146"/>
      <c r="O34" s="145"/>
      <c r="P34" s="146"/>
      <c r="R34" s="177"/>
    </row>
    <row r="35" spans="1:18" x14ac:dyDescent="0.2">
      <c r="A35" s="313">
        <v>16</v>
      </c>
      <c r="B35" s="258">
        <f>VALUE([6]Setup!E6)</f>
        <v>6</v>
      </c>
      <c r="C35" s="259"/>
      <c r="D35" s="260">
        <f>D33+E35</f>
        <v>7</v>
      </c>
      <c r="E35" s="260">
        <v>0</v>
      </c>
      <c r="F35" s="315">
        <f>VLOOKUP($B35,[6]Setup!$K$2:$L$33,2,FALSE)</f>
        <v>6</v>
      </c>
      <c r="G35" s="276">
        <f>IF([6]Setup!$B$24="#",0,IF(F35&gt;0,VLOOKUP(F35,[6]DrawPrep!$A$3:$I$34,3,FALSE),0))</f>
        <v>6</v>
      </c>
      <c r="H35" s="277" t="str">
        <f>IF(G35&gt;0,VLOOKUP(G35,[6]DrawPrep!$C$3:$G$34,2,FALSE),"bye")</f>
        <v>ΒΕΝΕΤΗΣ ΤΑΣΟΣ</v>
      </c>
      <c r="I35" s="263" t="str">
        <f t="shared" si="0"/>
        <v>ΒΕΝΕΤΗΣ</v>
      </c>
      <c r="J35" s="278">
        <f>IF($G35&gt;0,VLOOKUP($G35,[6]DrawPrep!$C$3:$E$34,3,FALSE),"")</f>
        <v>0</v>
      </c>
      <c r="K35" s="129"/>
      <c r="L35" s="178"/>
      <c r="N35" s="146"/>
      <c r="P35" s="146"/>
      <c r="Q35" s="129"/>
      <c r="R35" s="286" t="str">
        <f>UPPER(IF($A$2="R",IF(OR(Q36=1,Q36="a"),R19,IF(OR(Q36=2,Q36="b"),R51,"")),IF(OR(Q36=1,Q36="a"),R19,IF(OR(Q36=2,Q36="b"),R51,""))))</f>
        <v/>
      </c>
    </row>
    <row r="36" spans="1:18" x14ac:dyDescent="0.2">
      <c r="A36" s="314"/>
      <c r="B36" s="265"/>
      <c r="C36" s="287"/>
      <c r="D36" s="288"/>
      <c r="E36" s="288"/>
      <c r="F36" s="316"/>
      <c r="G36" s="279">
        <f>IF([6]Setup!$B$24="#",0,IF(F35&gt;0,VLOOKUP(F35,[6]DrawPrep!$A$3:$I$34,7,FALSE),0))</f>
        <v>23</v>
      </c>
      <c r="H36" s="289" t="str">
        <f>IF(G36&gt;0,VLOOKUP(G36,[6]DrawPrep!$G$3:$I$34,2,FALSE)," ")</f>
        <v>ΑΝΔΡΟΥΤΣΕΛΗΣ ΓΙΑΝΝΗΣ</v>
      </c>
      <c r="I36" s="290" t="str">
        <f t="shared" si="0"/>
        <v>ΑΝΔΡΟΥΤΣΕΛΗΣ</v>
      </c>
      <c r="J36" s="291">
        <f>IF($G36&gt;0,VLOOKUP($G36,[6]DrawPrep!$G$3:$I$34,3,FALSE),"")</f>
        <v>0</v>
      </c>
      <c r="K36" s="129"/>
      <c r="L36" s="146"/>
      <c r="N36" s="146"/>
      <c r="P36" s="146"/>
      <c r="Q36" s="172"/>
      <c r="R36" s="292" t="str">
        <f>UPPER(IF($A$2="R",IF(OR(Q36=1,Q36="a"),R20,IF(OR(Q36=2,Q36="b"),R52,"")),IF(OR(Q36=1,Q36="a"),R20,IF(OR(Q36=2,Q36="b"),R52,""))))</f>
        <v/>
      </c>
    </row>
    <row r="37" spans="1:18" x14ac:dyDescent="0.2">
      <c r="A37" s="309">
        <v>17</v>
      </c>
      <c r="B37" s="282">
        <f>VALUE([6]Setup!E7)</f>
        <v>7</v>
      </c>
      <c r="C37" s="234"/>
      <c r="D37" s="250">
        <f>D35+E37</f>
        <v>7</v>
      </c>
      <c r="E37" s="236">
        <v>0</v>
      </c>
      <c r="F37" s="311">
        <f>VLOOKUP($B37,[6]Setup!$K$2:$L$33,2,FALSE)</f>
        <v>7</v>
      </c>
      <c r="G37" s="140">
        <f>IF([6]Setup!$B$24="#",0,IF(F37&gt;0,VLOOKUP(F37,[6]DrawPrep!$A$3:$I$34,3,FALSE),0))</f>
        <v>4</v>
      </c>
      <c r="H37" s="237" t="str">
        <f>IF(G37&gt;0,VLOOKUP(G37,[6]DrawPrep!$C$3:$E$34,2,FALSE),"bye")</f>
        <v>ΣΤΑΥΡΙΔΗΣ ΓΙΑΝΝΗΣ</v>
      </c>
      <c r="I37" s="238" t="str">
        <f>IF(G37&gt;0,LEFT(H37,FIND(" ",H37)-1),"")</f>
        <v>ΣΤΑΥΡΙΔΗΣ</v>
      </c>
      <c r="J37" s="142">
        <f>IF($G37&gt;0,VLOOKUP($G37,[6]DrawPrep!$C$3:$E$34,3,FALSE),"")</f>
        <v>0</v>
      </c>
      <c r="K37" s="114"/>
      <c r="L37" s="217" t="str">
        <f>UPPER(IF($A$2="R",IF(OR(K38=1,K38="a"),G37,IF(OR(K38=2,K38="b"),G39,"")),IF(OR(K38=1,K38="1"),I37,IF(OR(K38=2,K38="b"),I39,""))))</f>
        <v>ΣΤΑΥΡΙΔΗΣ</v>
      </c>
      <c r="M37" s="145"/>
      <c r="N37" s="146"/>
      <c r="P37" s="146"/>
      <c r="R37" s="293"/>
    </row>
    <row r="38" spans="1:18" x14ac:dyDescent="0.2">
      <c r="A38" s="310"/>
      <c r="B38" s="283"/>
      <c r="C38" s="240"/>
      <c r="D38" s="242"/>
      <c r="E38" s="243"/>
      <c r="F38" s="312"/>
      <c r="G38" s="244">
        <f>IF([6]Setup!$B$24="#",0,IF(F37&gt;0,VLOOKUP(F37,[6]DrawPrep!$A$3:$I$34,7,FALSE),0))</f>
        <v>21</v>
      </c>
      <c r="H38" s="245" t="str">
        <f>IF(G38&gt;0,VLOOKUP(G38,[6]DrawPrep!$G$3:$I$34,2,FALSE)," ")</f>
        <v>ΚΟΚΟΤΑΣ ΝΙΚΟΛΑΟΣ</v>
      </c>
      <c r="I38" s="246" t="str">
        <f>IF(G38&gt;0,LEFT(H38,FIND(" ",H38)-1),"")</f>
        <v>ΚΟΚΟΤΑΣ</v>
      </c>
      <c r="J38" s="284">
        <f>IF($G38&gt;0,VLOOKUP($G38,[6]DrawPrep!$G$3:$I$34,3,FALSE),"")</f>
        <v>0</v>
      </c>
      <c r="K38" s="172">
        <v>1</v>
      </c>
      <c r="L38" s="217" t="str">
        <f>UPPER(IF($A$2="R",IF(OR(K38=1,K38="a"),G38,IF(OR(K38=2,K38="b"),G40,"")),IF(OR(K38=1,K38="1"),I38,IF(OR(K38=2,K38="b"),I40,""))))</f>
        <v>ΚΟΚΟΤΑΣ</v>
      </c>
      <c r="M38" s="145"/>
      <c r="N38" s="146"/>
      <c r="P38" s="146"/>
      <c r="R38" s="177"/>
    </row>
    <row r="39" spans="1:18" x14ac:dyDescent="0.2">
      <c r="A39" s="309">
        <v>18</v>
      </c>
      <c r="B39" s="248">
        <f>13-D39+8</f>
        <v>13</v>
      </c>
      <c r="C39" s="282">
        <f>VALUE([6]Setup!E7)</f>
        <v>7</v>
      </c>
      <c r="D39" s="250">
        <f>D37+E39</f>
        <v>8</v>
      </c>
      <c r="E39" s="251">
        <f>IF($B$2&gt;=C39,1,0)</f>
        <v>1</v>
      </c>
      <c r="F39" s="311" t="str">
        <f>IF($B$2&gt;=C39,"-",VLOOKUP($B39,[6]Setup!$K$2:$L$33,2,FALSE))</f>
        <v>-</v>
      </c>
      <c r="G39" s="139">
        <f>IF([6]Setup!$B$24="#",0,IF(NOT(F39="-"),VLOOKUP(F39,[6]DrawPrep!$A$3:$I$34,3,FALSE),0))</f>
        <v>0</v>
      </c>
      <c r="H39" s="252" t="str">
        <f>IF(G39&gt;0,VLOOKUP(G39,[6]DrawPrep!$C$3:$G$34,2,FALSE),"bye")</f>
        <v>bye</v>
      </c>
      <c r="I39" s="238" t="str">
        <f t="shared" ref="I39:I68" si="1">IF(G39&gt;0,LEFT(H39,FIND(" ",H39)-1),"")</f>
        <v/>
      </c>
      <c r="J39" s="253" t="str">
        <f>IF($G39&gt;0,VLOOKUP($G39,[6]DrawPrep!$C$3:$E$34,3,FALSE),"")</f>
        <v/>
      </c>
      <c r="K39" s="129"/>
      <c r="L39" s="158"/>
      <c r="M39" s="114"/>
      <c r="N39" s="217" t="str">
        <f>UPPER(IF($A$2="R",IF(OR(M40=1,M40="a"),L37,IF(OR(M40=2,M39="b"),L41,"")),IF(OR(M40=1,M40="a"),L37,IF(OR(M40=2,M40="b"),L41,""))))</f>
        <v/>
      </c>
      <c r="O39" s="145"/>
      <c r="P39" s="146"/>
      <c r="R39" s="177"/>
    </row>
    <row r="40" spans="1:18" x14ac:dyDescent="0.2">
      <c r="A40" s="310"/>
      <c r="B40" s="254"/>
      <c r="C40" s="285"/>
      <c r="D40" s="256"/>
      <c r="E40" s="257"/>
      <c r="F40" s="312"/>
      <c r="G40" s="154">
        <f>IF([6]Setup!$B$24="#",0,IF(NOT(F39="-"),VLOOKUP(F39,[6]DrawPrep!$A$3:$I$34,7,FALSE),0))</f>
        <v>0</v>
      </c>
      <c r="H40" s="144" t="str">
        <f>IF(G40&gt;0,VLOOKUP(G40,[6]DrawPrep!$G$3:$I$34,2,FALSE)," ")</f>
        <v xml:space="preserve"> </v>
      </c>
      <c r="I40" s="246" t="str">
        <f t="shared" si="1"/>
        <v/>
      </c>
      <c r="J40" s="156" t="str">
        <f>IF($G40&gt;0,VLOOKUP($G40,[6]DrawPrep!$G$3:$I$34,3,FALSE),"")</f>
        <v/>
      </c>
      <c r="K40" s="129"/>
      <c r="L40" s="171"/>
      <c r="M40" s="143"/>
      <c r="N40" s="217" t="str">
        <f>UPPER(IF($A$2="R",IF(OR(M40=1,M40="a"),L38,IF(OR(M40=2,M40="b"),L42,"")),IF(OR(M40=1,M40="a"),L38,IF(OR(M40=2,M40="b"),L42,""))))</f>
        <v/>
      </c>
      <c r="O40" s="145"/>
      <c r="P40" s="146"/>
      <c r="R40" s="177"/>
    </row>
    <row r="41" spans="1:18" x14ac:dyDescent="0.2">
      <c r="A41" s="313">
        <v>19</v>
      </c>
      <c r="B41" s="258">
        <f>14-D41+8</f>
        <v>14</v>
      </c>
      <c r="C41" s="259"/>
      <c r="D41" s="260">
        <f>D39+E41</f>
        <v>8</v>
      </c>
      <c r="E41" s="260">
        <v>0</v>
      </c>
      <c r="F41" s="315">
        <f>VLOOKUP($B41,[6]Setup!$K$2:$L$33,2,FALSE)</f>
        <v>10</v>
      </c>
      <c r="G41" s="261">
        <f>IF([6]Setup!$B$24="#",0,IF(F41&gt;0,VLOOKUP(F41,[6]DrawPrep!$A$3:$I$34,3,FALSE),0))</f>
        <v>8</v>
      </c>
      <c r="H41" s="262" t="str">
        <f>IF(G41&gt;0,VLOOKUP(G41,[6]DrawPrep!$C$3:$G$34,2,FALSE),"bye")</f>
        <v>ΜΟΥΡΑΤΟΓΛΟΥ ΑΡΙΣΤΟΤΕΛΗΣ</v>
      </c>
      <c r="I41" s="263" t="str">
        <f t="shared" si="1"/>
        <v>ΜΟΥΡΑΤΟΓΛΟΥ</v>
      </c>
      <c r="J41" s="264">
        <f>IF($G41&gt;0,VLOOKUP($G41,[6]DrawPrep!$C$3:$E$34,3,FALSE),"")</f>
        <v>0</v>
      </c>
      <c r="K41" s="114"/>
      <c r="L41" s="217" t="str">
        <f>UPPER(IF($A$2="R",IF(OR(K42=1,K42="a"),G41,IF(OR(K42=2,K42="b"),G43,"")),IF(OR(K42=1,K42="1"),I41,IF(OR(K42=2,K42="b"),I43,""))))</f>
        <v>ΜΟΥΡΑΤΟΓΛΟΥ</v>
      </c>
      <c r="M41" s="157"/>
      <c r="N41" s="158"/>
      <c r="O41" s="145"/>
      <c r="P41" s="146"/>
      <c r="R41" s="177"/>
    </row>
    <row r="42" spans="1:18" x14ac:dyDescent="0.2">
      <c r="A42" s="314"/>
      <c r="B42" s="265"/>
      <c r="C42" s="266"/>
      <c r="D42" s="267"/>
      <c r="E42" s="267"/>
      <c r="F42" s="316"/>
      <c r="G42" s="268">
        <f>IF([6]Setup!$B$24="#",0,IF(F41&gt;0,VLOOKUP(F41,[6]DrawPrep!$A$3:$I$34,7,FALSE),0))</f>
        <v>25</v>
      </c>
      <c r="H42" s="269" t="str">
        <f>IF(G42&gt;0,VLOOKUP(G42,[6]DrawPrep!$G$3:$I$34,2,FALSE)," ")</f>
        <v>ΚΩΤΣΗΡΑΣ ΓΙΩΡΓΟΣ</v>
      </c>
      <c r="I42" s="270" t="str">
        <f t="shared" si="1"/>
        <v>ΚΩΤΣΗΡΑΣ</v>
      </c>
      <c r="J42" s="271">
        <f>IF($G42&gt;0,VLOOKUP($G42,[6]DrawPrep!$G$3:$I$34,3,FALSE),"")</f>
        <v>0</v>
      </c>
      <c r="K42" s="172">
        <v>1</v>
      </c>
      <c r="L42" s="156" t="str">
        <f>UPPER(IF($A$2="R",IF(OR(K42=1,K42="a"),G42,IF(OR(K42=2,K42="b"),G44,"")),IF(OR(K42=1,K42="1"),I42,IF(OR(K42=2,K42="b"),I44,""))))</f>
        <v>ΚΩΤΣΗΡΑΣ</v>
      </c>
      <c r="M42" s="191"/>
      <c r="N42" s="171"/>
      <c r="O42" s="145"/>
      <c r="P42" s="146"/>
      <c r="R42" s="177"/>
    </row>
    <row r="43" spans="1:18" x14ac:dyDescent="0.2">
      <c r="A43" s="313">
        <v>20</v>
      </c>
      <c r="B43" s="258">
        <f>15-D43+8</f>
        <v>14</v>
      </c>
      <c r="C43" s="259">
        <v>12</v>
      </c>
      <c r="D43" s="260">
        <f>D41+E43</f>
        <v>9</v>
      </c>
      <c r="E43" s="260">
        <f>IF($B$2&gt;=C43,1,0)</f>
        <v>1</v>
      </c>
      <c r="F43" s="315" t="str">
        <f>IF($B$2&gt;=C43,"-",VLOOKUP($B43,[6]Setup!$K$2:$L$33,2,FALSE))</f>
        <v>-</v>
      </c>
      <c r="G43" s="261">
        <f>IF([6]Setup!$B$24="#",0,IF(NOT(F43="-"),VLOOKUP(F43,[6]DrawPrep!$A$3:$I$34,3,FALSE),0))</f>
        <v>0</v>
      </c>
      <c r="H43" s="262" t="str">
        <f>IF(G43&gt;0,VLOOKUP(G43,[6]DrawPrep!$C$3:$G$34,2,FALSE),"bye")</f>
        <v>bye</v>
      </c>
      <c r="I43" s="263" t="str">
        <f t="shared" si="1"/>
        <v/>
      </c>
      <c r="J43" s="264" t="str">
        <f>IF($G43&gt;0,VLOOKUP($G43,[6]DrawPrep!$C$3:$E$34,3,FALSE),"")</f>
        <v/>
      </c>
      <c r="K43" s="129"/>
      <c r="L43" s="146"/>
      <c r="M43" s="145"/>
      <c r="N43" s="171"/>
      <c r="O43" s="114"/>
      <c r="P43" s="217" t="str">
        <f>UPPER(IF($A$2="R",IF(OR(O44=1,O44="a"),N39,IF(OR(O44=2,O44="b"),N47,"")),IF(OR(O44=1,O44="a"),N39,IF(OR(O44=2,O44="b"),N47,""))))</f>
        <v/>
      </c>
      <c r="R43" s="177"/>
    </row>
    <row r="44" spans="1:18" x14ac:dyDescent="0.2">
      <c r="A44" s="314"/>
      <c r="B44" s="265"/>
      <c r="C44" s="266"/>
      <c r="D44" s="267"/>
      <c r="E44" s="267"/>
      <c r="F44" s="316"/>
      <c r="G44" s="268">
        <f>IF([6]Setup!$B$24="#",0,IF(NOT(F43="-"),VLOOKUP(F43,[6]DrawPrep!$A$3:$I$34,7,FALSE),0))</f>
        <v>0</v>
      </c>
      <c r="H44" s="269" t="str">
        <f>IF(G44&gt;0,VLOOKUP(G44,[6]DrawPrep!$G$3:$I$34,2,FALSE)," ")</f>
        <v xml:space="preserve"> </v>
      </c>
      <c r="I44" s="270" t="str">
        <f t="shared" si="1"/>
        <v/>
      </c>
      <c r="J44" s="271" t="str">
        <f>IF($G44&gt;0,VLOOKUP($G44,[6]DrawPrep!$G$3:$I$34,3,FALSE),"")</f>
        <v/>
      </c>
      <c r="K44" s="129"/>
      <c r="L44" s="118"/>
      <c r="M44" s="145"/>
      <c r="N44" s="171"/>
      <c r="O44" s="172"/>
      <c r="P44" s="217" t="str">
        <f>UPPER(IF($A$2="R",IF(OR(O44=1,O44="a"),N40,IF(OR(O44=2,O44="b"),N48,"")),IF(OR(O44=1,O44="a"),N40,IF(OR(O44=2,O44="b"),N48,""))))</f>
        <v/>
      </c>
      <c r="R44" s="177"/>
    </row>
    <row r="45" spans="1:18" x14ac:dyDescent="0.2">
      <c r="A45" s="309">
        <v>21</v>
      </c>
      <c r="B45" s="248">
        <f>16-D45+8</f>
        <v>15</v>
      </c>
      <c r="C45" s="272"/>
      <c r="D45" s="250">
        <f>D43+E45</f>
        <v>9</v>
      </c>
      <c r="E45" s="273">
        <v>0</v>
      </c>
      <c r="F45" s="311">
        <f>VLOOKUP($B45,[6]Setup!$K$2:$L$33,2,FALSE)</f>
        <v>18</v>
      </c>
      <c r="G45" s="139">
        <f>IF([6]Setup!$B$24="#",0,IF(F45&gt;0,VLOOKUP(F45,[6]DrawPrep!$A$3:$I$34,3,FALSE),0))</f>
        <v>17</v>
      </c>
      <c r="H45" s="252" t="str">
        <f>IF(G45&gt;0,VLOOKUP(G45,[6]DrawPrep!$C$3:$G$34,2,FALSE),"bye")</f>
        <v>DIRZU ANDREI</v>
      </c>
      <c r="I45" s="238" t="str">
        <f t="shared" si="1"/>
        <v>DIRZU</v>
      </c>
      <c r="J45" s="253">
        <f>IF($G45&gt;0,VLOOKUP($G45,[6]DrawPrep!$C$3:$E$34,3,FALSE),"")</f>
        <v>0</v>
      </c>
      <c r="K45" s="114"/>
      <c r="L45" s="217" t="str">
        <f>UPPER(IF($A$2="R",IF(OR(K46=1,K46="a"),G45,IF(OR(K46=2,K46="b"),G47,"")),IF(OR(K46=1,K46="1"),I45,IF(OR(K46=2,K46="b"),I47,""))))</f>
        <v>DIRZU</v>
      </c>
      <c r="M45" s="145"/>
      <c r="N45" s="171"/>
      <c r="O45" s="157"/>
      <c r="P45" s="158"/>
      <c r="R45" s="177"/>
    </row>
    <row r="46" spans="1:18" x14ac:dyDescent="0.2">
      <c r="A46" s="310"/>
      <c r="B46" s="254"/>
      <c r="C46" s="274"/>
      <c r="D46" s="256"/>
      <c r="E46" s="275"/>
      <c r="F46" s="312"/>
      <c r="G46" s="154">
        <f>IF([6]Setup!$B$24="#",0,IF(F45&gt;0,VLOOKUP(F45,[6]DrawPrep!$A$3:$I$34,7,FALSE),0))</f>
        <v>34</v>
      </c>
      <c r="H46" s="144" t="str">
        <f>IF(G46&gt;0,VLOOKUP(G46,[6]DrawPrep!$G$3:$I$34,2,FALSE)," ")</f>
        <v>ΛΑΜΠΡΟΠΟΥΛΟΣ ΔΙΟΝΥΣΗΣ</v>
      </c>
      <c r="I46" s="246" t="str">
        <f t="shared" si="1"/>
        <v>ΛΑΜΠΡΟΠΟΥΛΟΣ</v>
      </c>
      <c r="J46" s="156">
        <f>IF($G46&gt;0,VLOOKUP($G46,[6]DrawPrep!$G$3:$I$34,3,FALSE),"")</f>
        <v>0</v>
      </c>
      <c r="K46" s="224">
        <v>1</v>
      </c>
      <c r="L46" s="217" t="str">
        <f>UPPER(IF($A$2="R",IF(OR(K46=1,K46="a"),G46,IF(OR(K46=2,K46="b"),G48,"")),IF(OR(K46=1,K46="1"),I46,IF(OR(K46=2,K46="b"),I48,""))))</f>
        <v>ΛΑΜΠΡΟΠΟΥΛΟΣ</v>
      </c>
      <c r="M46" s="145"/>
      <c r="N46" s="171"/>
      <c r="O46" s="145"/>
      <c r="P46" s="171"/>
      <c r="R46" s="177"/>
    </row>
    <row r="47" spans="1:18" x14ac:dyDescent="0.2">
      <c r="A47" s="309">
        <v>22</v>
      </c>
      <c r="B47" s="248">
        <f>17-D47+8</f>
        <v>15</v>
      </c>
      <c r="C47" s="249">
        <v>14</v>
      </c>
      <c r="D47" s="250">
        <f>D45+E47</f>
        <v>10</v>
      </c>
      <c r="E47" s="251">
        <f>IF($B$2&gt;=C47,1,0)</f>
        <v>1</v>
      </c>
      <c r="F47" s="311" t="str">
        <f>IF($B$2&gt;=C47,"-",VLOOKUP($B47,[6]Setup!$K$2:$L$33,2,FALSE))</f>
        <v>-</v>
      </c>
      <c r="G47" s="139">
        <f>IF([6]Setup!$B$24="#",0,IF(NOT(F47="-"),VLOOKUP(F47,[6]DrawPrep!$A$3:$I$34,3,FALSE),0))</f>
        <v>0</v>
      </c>
      <c r="H47" s="252" t="str">
        <f>IF(G47&gt;0,VLOOKUP(G47,[6]DrawPrep!$C$3:$G$34,2,FALSE),"bye")</f>
        <v>bye</v>
      </c>
      <c r="I47" s="238" t="str">
        <f t="shared" si="1"/>
        <v/>
      </c>
      <c r="J47" s="253" t="str">
        <f>IF($G47&gt;0,VLOOKUP($G47,[6]DrawPrep!$C$3:$E$34,3,FALSE),"")</f>
        <v/>
      </c>
      <c r="K47" s="157"/>
      <c r="L47" s="158"/>
      <c r="M47" s="114"/>
      <c r="N47" s="188" t="str">
        <f>UPPER(IF($A$2="R",IF(OR(M48=1,M48="a"),L45,IF(OR(M48=2,M47="b"),L49,"")),IF(OR(M48=1,M48="a"),L45,IF(OR(M48=2,M48="b"),L49,""))))</f>
        <v/>
      </c>
      <c r="O47" s="145"/>
      <c r="P47" s="171"/>
      <c r="R47" s="177"/>
    </row>
    <row r="48" spans="1:18" x14ac:dyDescent="0.2">
      <c r="A48" s="310"/>
      <c r="B48" s="254"/>
      <c r="C48" s="255"/>
      <c r="D48" s="256"/>
      <c r="E48" s="257"/>
      <c r="F48" s="312"/>
      <c r="G48" s="154">
        <f>IF([6]Setup!$B$24="#",0,IF(NOT(F47="-"),VLOOKUP(F47,[6]DrawPrep!$A$3:$I$34,7,FALSE),0))</f>
        <v>0</v>
      </c>
      <c r="H48" s="144" t="str">
        <f>IF(G48&gt;0,VLOOKUP(G48,[6]DrawPrep!$G$3:$I$34,2,FALSE)," ")</f>
        <v xml:space="preserve"> </v>
      </c>
      <c r="I48" s="246" t="str">
        <f t="shared" si="1"/>
        <v/>
      </c>
      <c r="J48" s="156" t="str">
        <f>IF($G48&gt;0,VLOOKUP($G48,[6]DrawPrep!$G$3:$I$34,3,FALSE),"")</f>
        <v/>
      </c>
      <c r="K48" s="129"/>
      <c r="L48" s="171"/>
      <c r="M48" s="172"/>
      <c r="N48" s="156" t="str">
        <f>UPPER(IF($A$2="R",IF(OR(M48=1,M48="a"),L46,IF(OR(M48=2,M48="b"),L50,"")),IF(OR(M48=1,M48="a"),L46,IF(OR(M48=2,M48="b"),L50,""))))</f>
        <v/>
      </c>
      <c r="O48" s="145"/>
      <c r="P48" s="171"/>
      <c r="R48" s="177"/>
    </row>
    <row r="49" spans="1:20" x14ac:dyDescent="0.2">
      <c r="A49" s="313">
        <v>23</v>
      </c>
      <c r="B49" s="258">
        <f>18-D49+8</f>
        <v>15</v>
      </c>
      <c r="C49" s="258">
        <f>VALUE([6]Setup!E3)</f>
        <v>4</v>
      </c>
      <c r="D49" s="260">
        <f>D47+E49</f>
        <v>11</v>
      </c>
      <c r="E49" s="260">
        <f>IF($B$2&gt;=C49,1,0)</f>
        <v>1</v>
      </c>
      <c r="F49" s="315" t="str">
        <f>IF($B$2&gt;=C49,"-",VLOOKUP($B49,[6]Setup!$K$2:$L$33,2,FALSE))</f>
        <v>-</v>
      </c>
      <c r="G49" s="261">
        <f>IF([6]Setup!$B$24="#",0,IF(NOT(F49="-"),VLOOKUP(F49,[6]DrawPrep!$A$3:$I$34,3,FALSE),0))</f>
        <v>0</v>
      </c>
      <c r="H49" s="262" t="str">
        <f>IF(G49&gt;0,VLOOKUP(G49,[6]DrawPrep!$C$3:$G$34,2,FALSE),"bye")</f>
        <v>bye</v>
      </c>
      <c r="I49" s="263" t="str">
        <f t="shared" si="1"/>
        <v/>
      </c>
      <c r="J49" s="264" t="str">
        <f>IF($G49&gt;0,VLOOKUP($G49,[6]DrawPrep!$C$3:$E$34,3,FALSE),"")</f>
        <v/>
      </c>
      <c r="K49" s="114"/>
      <c r="L49" s="217" t="str">
        <f>UPPER(IF($A$2="R",IF(OR(K50=1,K50="a"),G49,IF(OR(K50=2,K50="b"),G51,"")),IF(OR(K50=1,K50="1"),I49,IF(OR(K50=2,K50="b"),I51,""))))</f>
        <v>ΣΑΚΕΛΛΑΡΙΔΗΣ</v>
      </c>
      <c r="M49" s="191"/>
      <c r="N49" s="178"/>
      <c r="O49" s="145"/>
      <c r="P49" s="171"/>
      <c r="R49" s="177"/>
    </row>
    <row r="50" spans="1:20" x14ac:dyDescent="0.2">
      <c r="A50" s="314"/>
      <c r="B50" s="265"/>
      <c r="C50" s="266"/>
      <c r="D50" s="267"/>
      <c r="E50" s="267"/>
      <c r="F50" s="316"/>
      <c r="G50" s="268">
        <f>IF([6]Setup!$B$24="#",0,IF(NOT(F49="-"),VLOOKUP(F49,[6]DrawPrep!$A$3:$I$34,7,FALSE),0))</f>
        <v>0</v>
      </c>
      <c r="H50" s="269" t="str">
        <f>IF(G50&gt;0,VLOOKUP(G50,[6]DrawPrep!$G$3:$I$34,2,FALSE)," ")</f>
        <v xml:space="preserve"> </v>
      </c>
      <c r="I50" s="270" t="str">
        <f t="shared" si="1"/>
        <v/>
      </c>
      <c r="J50" s="271" t="str">
        <f>IF($G50&gt;0,VLOOKUP($G50,[6]DrawPrep!$G$3:$I$34,3,FALSE),"")</f>
        <v/>
      </c>
      <c r="K50" s="172">
        <v>2</v>
      </c>
      <c r="L50" s="144" t="str">
        <f>UPPER(IF($A$2="R",IF(OR(K50=1,K50="a"),G50,IF(OR(K50=2,K50="b"),G52,"")),IF(OR(K50=1,K50="1"),I50,IF(OR(K50=2,K50="b"),I52,""))))</f>
        <v>ΝΙΑΡΧΟΣ</v>
      </c>
      <c r="M50" s="191"/>
      <c r="N50" s="146"/>
      <c r="O50" s="145"/>
      <c r="P50" s="171"/>
      <c r="R50" s="177"/>
    </row>
    <row r="51" spans="1:20" x14ac:dyDescent="0.2">
      <c r="A51" s="313">
        <v>24</v>
      </c>
      <c r="B51" s="258">
        <f>VALUE([6]Setup!E3)</f>
        <v>4</v>
      </c>
      <c r="C51" s="259"/>
      <c r="D51" s="260">
        <f>D49+E51</f>
        <v>11</v>
      </c>
      <c r="E51" s="260">
        <v>0</v>
      </c>
      <c r="F51" s="315">
        <f>VLOOKUP($B51,[6]Setup!$K$2:$L$33,2,FALSE)</f>
        <v>4</v>
      </c>
      <c r="G51" s="276">
        <f>IF([6]Setup!$B$24="#",0,IF(F51&gt;0,VLOOKUP(F51,[6]DrawPrep!$A$3:$I$34,3,FALSE),0))</f>
        <v>3</v>
      </c>
      <c r="H51" s="277" t="str">
        <f>IF(G51&gt;0,VLOOKUP(G51,[6]DrawPrep!$C$3:$G$34,2,FALSE),"bye")</f>
        <v>ΣΑΚΕΛΛΑΡΙΔΗΣ ΜΙΧΑΛΗΣ</v>
      </c>
      <c r="I51" s="263" t="str">
        <f t="shared" si="1"/>
        <v>ΣΑΚΕΛΛΑΡΙΔΗΣ</v>
      </c>
      <c r="J51" s="278">
        <f>IF($G51&gt;0,VLOOKUP($G51,[6]DrawPrep!$C$3:$E$34,3,FALSE),"")</f>
        <v>0</v>
      </c>
      <c r="K51" s="129"/>
      <c r="L51" s="146"/>
      <c r="N51" s="146"/>
      <c r="P51" s="171"/>
      <c r="Q51" s="129"/>
      <c r="R51" s="294" t="str">
        <f>UPPER(IF($A$2="R",IF(OR(Q52=1,Q52="a"),P43,IF(OR(Q52=2,Q52="b"),P59,"")),IF(OR(Q52=1,Q52="a"),P43,IF(OR(Q52=2,Q52="b"),P59,""))))</f>
        <v/>
      </c>
    </row>
    <row r="52" spans="1:20" x14ac:dyDescent="0.2">
      <c r="A52" s="314"/>
      <c r="B52" s="265"/>
      <c r="C52" s="266"/>
      <c r="D52" s="267"/>
      <c r="E52" s="267"/>
      <c r="F52" s="316"/>
      <c r="G52" s="279">
        <f>IF([6]Setup!$B$24="#",0,IF(F51&gt;0,VLOOKUP(F51,[6]DrawPrep!$A$3:$I$34,7,FALSE),0))</f>
        <v>20</v>
      </c>
      <c r="H52" s="280" t="str">
        <f>IF(G52&gt;0,VLOOKUP(G52,[6]DrawPrep!$G$3:$I$34,2,FALSE)," ")</f>
        <v>ΝΙΑΡΧΟΣ ΝΙΚΗΤΑΣ</v>
      </c>
      <c r="I52" s="270" t="str">
        <f t="shared" si="1"/>
        <v>ΝΙΑΡΧΟΣ</v>
      </c>
      <c r="J52" s="281">
        <f>IF($G52&gt;0,VLOOKUP($G52,[6]DrawPrep!$G$3:$I$34,3,FALSE),"")</f>
        <v>0</v>
      </c>
      <c r="K52" s="129"/>
      <c r="L52" s="146"/>
      <c r="N52" s="146"/>
      <c r="P52" s="171"/>
      <c r="Q52" s="143"/>
      <c r="R52" s="192" t="str">
        <f>UPPER(IF($A$2="R",IF(OR(Q52=1,Q52="a"),P44,IF(OR(Q52=2,Q52="b"),P60,"")),IF(OR(Q52=1,Q52="a"),P44,IF(OR(Q52=2,Q52="b"),P60,""))))</f>
        <v/>
      </c>
    </row>
    <row r="53" spans="1:20" x14ac:dyDescent="0.2">
      <c r="A53" s="309">
        <v>25</v>
      </c>
      <c r="B53" s="282">
        <f>VALUE([6]Setup!E8)</f>
        <v>5</v>
      </c>
      <c r="C53" s="272"/>
      <c r="D53" s="250">
        <f>D51+E53</f>
        <v>11</v>
      </c>
      <c r="E53" s="273">
        <v>0</v>
      </c>
      <c r="F53" s="311">
        <f>VLOOKUP($B53,[6]Setup!$K$2:$L$33,2,FALSE)</f>
        <v>5</v>
      </c>
      <c r="G53" s="140">
        <f>IF([6]Setup!$B$24="#",0,IF(F53&gt;0,VLOOKUP(F53,[6]DrawPrep!$A$3:$I$34,3,FALSE),0))</f>
        <v>5</v>
      </c>
      <c r="H53" s="237" t="str">
        <f>IF(G53&gt;0,VLOOKUP(G53,[6]DrawPrep!$C$3:$G$34,2,FALSE),"bye")</f>
        <v>ΣΗΜΑΙΟΦΟΡΙΔΗΣ ΧΑΡΗΣ</v>
      </c>
      <c r="I53" s="238" t="str">
        <f t="shared" si="1"/>
        <v>ΣΗΜΑΙΟΦΟΡΙΔΗΣ</v>
      </c>
      <c r="J53" s="142">
        <f>IF($G53&gt;0,VLOOKUP($G53,[6]DrawPrep!$C$3:$E$34,3,FALSE),"")</f>
        <v>0</v>
      </c>
      <c r="K53" s="114"/>
      <c r="L53" s="217" t="str">
        <f>UPPER(IF($A$2="R",IF(OR(K54=1,K54="a"),G53,IF(OR(K54=2,K54="b"),G55,"")),IF(OR(K54=1,K54="1"),I53,IF(OR(K54=2,K54="b"),I55,""))))</f>
        <v>ΣΗΜΑΙΟΦΟΡΙΔΗΣ</v>
      </c>
      <c r="M53" s="145"/>
      <c r="N53" s="146"/>
      <c r="P53" s="171"/>
      <c r="R53" s="137"/>
    </row>
    <row r="54" spans="1:20" x14ac:dyDescent="0.2">
      <c r="A54" s="310"/>
      <c r="B54" s="283"/>
      <c r="C54" s="274"/>
      <c r="D54" s="256"/>
      <c r="E54" s="275"/>
      <c r="F54" s="312"/>
      <c r="G54" s="244">
        <f>IF([6]Setup!$B$24="#",0,IF(F53&gt;0,VLOOKUP(F53,[6]DrawPrep!$A$3:$I$34,7,FALSE),0))</f>
        <v>22</v>
      </c>
      <c r="H54" s="245" t="str">
        <f>IF(G54&gt;0,VLOOKUP(G54,[6]DrawPrep!$G$3:$I$34,2,FALSE)," ")</f>
        <v>ΓΛΕΖΟΣ ΜΑΝΩΛΗΣ</v>
      </c>
      <c r="I54" s="246" t="str">
        <f t="shared" si="1"/>
        <v>ΓΛΕΖΟΣ</v>
      </c>
      <c r="J54" s="284">
        <f>IF($G54&gt;0,VLOOKUP($G54,[6]DrawPrep!$G$3:$I$34,3,FALSE),"")</f>
        <v>0</v>
      </c>
      <c r="K54" s="172">
        <v>1</v>
      </c>
      <c r="L54" s="217" t="str">
        <f>UPPER(IF($A$2="R",IF(OR(K54=1,K54="a"),G54,IF(OR(K54=2,K54="b"),G56,"")),IF(OR(K54=1,K54="1"),I54,IF(OR(K54=2,K54="b"),I56,""))))</f>
        <v>ΓΛΕΖΟΣ</v>
      </c>
      <c r="M54" s="145"/>
      <c r="N54" s="217"/>
      <c r="P54" s="171"/>
      <c r="R54" s="146"/>
    </row>
    <row r="55" spans="1:20" x14ac:dyDescent="0.2">
      <c r="A55" s="309">
        <v>26</v>
      </c>
      <c r="B55" s="248">
        <f>19-D55+8</f>
        <v>15</v>
      </c>
      <c r="C55" s="282">
        <f>VALUE([6]Setup!E8)</f>
        <v>5</v>
      </c>
      <c r="D55" s="250">
        <f>D53+E55</f>
        <v>12</v>
      </c>
      <c r="E55" s="251">
        <f>IF($B$2&gt;=C55,1,0)</f>
        <v>1</v>
      </c>
      <c r="F55" s="311" t="str">
        <f>IF($B$2&gt;=C55,"-",VLOOKUP($B55,[6]Setup!$K$2:$L$33,2,FALSE))</f>
        <v>-</v>
      </c>
      <c r="G55" s="139">
        <f>IF([6]Setup!$B$24="#",0,IF(NOT(F55="-"),VLOOKUP(F55,[6]DrawPrep!$A$3:$I$34,3,FALSE),0))</f>
        <v>0</v>
      </c>
      <c r="H55" s="252" t="str">
        <f>IF(G55&gt;0,VLOOKUP(G55,[6]DrawPrep!$C$3:$G$34,2,FALSE),"bye")</f>
        <v>bye</v>
      </c>
      <c r="I55" s="238" t="str">
        <f t="shared" si="1"/>
        <v/>
      </c>
      <c r="J55" s="253" t="str">
        <f>IF($G55&gt;0,VLOOKUP($G55,[6]DrawPrep!$C$3:$E$34,3,FALSE),"")</f>
        <v/>
      </c>
      <c r="K55" s="129"/>
      <c r="L55" s="158"/>
      <c r="M55" s="114"/>
      <c r="N55" s="217" t="str">
        <f>UPPER(IF($A$2="R",IF(OR(M56=1,M56="a"),L53,IF(OR(M56=2,M55="b"),L57,"")),IF(OR(M56=1,M56="a"),L53,IF(OR(M56=2,M56="b"),L57,""))))</f>
        <v/>
      </c>
      <c r="O55" s="145"/>
      <c r="P55" s="171"/>
      <c r="R55" s="146"/>
    </row>
    <row r="56" spans="1:20" x14ac:dyDescent="0.2">
      <c r="A56" s="310"/>
      <c r="B56" s="254"/>
      <c r="C56" s="285"/>
      <c r="D56" s="256"/>
      <c r="E56" s="257"/>
      <c r="F56" s="312"/>
      <c r="G56" s="154">
        <f>IF([6]Setup!$B$24="#",0,IF(NOT(F55="-"),VLOOKUP(F55,[6]DrawPrep!$A$3:$I$34,7,FALSE),0))</f>
        <v>0</v>
      </c>
      <c r="H56" s="144" t="str">
        <f>IF(G56&gt;0,VLOOKUP(G56,[6]DrawPrep!$G$3:$I$34,2,FALSE)," ")</f>
        <v xml:space="preserve"> </v>
      </c>
      <c r="I56" s="246" t="str">
        <f t="shared" si="1"/>
        <v/>
      </c>
      <c r="J56" s="156" t="str">
        <f>IF($G56&gt;0,VLOOKUP($G56,[6]DrawPrep!$G$3:$I$34,3,FALSE),"")</f>
        <v/>
      </c>
      <c r="K56" s="129"/>
      <c r="L56" s="171"/>
      <c r="M56" s="143"/>
      <c r="N56" s="217" t="str">
        <f>UPPER(IF($A$2="R",IF(OR(M56=1,M56="a"),L54,IF(OR(M56=2,M56="b"),L58,"")),IF(OR(M56=1,M56="a"),L54,IF(OR(M56=2,M56="b"),L58,""))))</f>
        <v/>
      </c>
      <c r="O56" s="145"/>
      <c r="P56" s="171"/>
      <c r="R56" s="146"/>
    </row>
    <row r="57" spans="1:20" x14ac:dyDescent="0.2">
      <c r="A57" s="313">
        <v>27</v>
      </c>
      <c r="B57" s="258">
        <f>20-D57+8</f>
        <v>16</v>
      </c>
      <c r="C57" s="259"/>
      <c r="D57" s="260">
        <f>D55+E57</f>
        <v>12</v>
      </c>
      <c r="E57" s="260">
        <v>0</v>
      </c>
      <c r="F57" s="315">
        <f>VLOOKUP($B57,[6]Setup!$K$2:$L$33,2,FALSE)</f>
        <v>16</v>
      </c>
      <c r="G57" s="261">
        <f>IF([6]Setup!$B$24="#",0,IF(F57&gt;0,VLOOKUP(F57,[6]DrawPrep!$A$3:$I$34,3,FALSE),0))</f>
        <v>13</v>
      </c>
      <c r="H57" s="262" t="str">
        <f>IF(G57&gt;0,VLOOKUP(G57,[6]DrawPrep!$C$3:$G$34,2,FALSE),"bye")</f>
        <v>ΚΟΥΜΙΔΗΣ ΙΑΣΟΝΑΣ</v>
      </c>
      <c r="I57" s="263" t="str">
        <f t="shared" si="1"/>
        <v>ΚΟΥΜΙΔΗΣ</v>
      </c>
      <c r="J57" s="264">
        <f>IF($G57&gt;0,VLOOKUP($G57,[6]DrawPrep!$C$3:$E$34,3,FALSE),"")</f>
        <v>0</v>
      </c>
      <c r="K57" s="114"/>
      <c r="L57" s="217" t="str">
        <f>UPPER(IF($A$2="R",IF(OR(K58=1,K58="a"),G57,IF(OR(K58=2,K58="b"),G59,"")),IF(OR(K58=1,K58="1"),I57,IF(OR(K58=2,K58="b"),I59,""))))</f>
        <v>ΚΟΥΜΙΔΗΣ</v>
      </c>
      <c r="M57" s="191"/>
      <c r="N57" s="158"/>
      <c r="O57" s="145"/>
      <c r="P57" s="171"/>
      <c r="R57" s="146"/>
    </row>
    <row r="58" spans="1:20" x14ac:dyDescent="0.2">
      <c r="A58" s="314"/>
      <c r="B58" s="265"/>
      <c r="C58" s="266"/>
      <c r="D58" s="267"/>
      <c r="E58" s="267"/>
      <c r="F58" s="316"/>
      <c r="G58" s="268">
        <f>IF([6]Setup!$B$24="#",0,IF(F57&gt;0,VLOOKUP(F57,[6]DrawPrep!$A$3:$I$34,7,FALSE),0))</f>
        <v>30</v>
      </c>
      <c r="H58" s="269" t="str">
        <f>IF(G58&gt;0,VLOOKUP(G58,[6]DrawPrep!$G$3:$I$34,2,FALSE)," ")</f>
        <v>ΚΟΥΜΙΔΗΣ ΧΡΗΣΤΟΣ</v>
      </c>
      <c r="I58" s="270" t="str">
        <f t="shared" si="1"/>
        <v>ΚΟΥΜΙΔΗΣ</v>
      </c>
      <c r="J58" s="271">
        <f>IF($G58&gt;0,VLOOKUP($G58,[6]DrawPrep!$G$3:$I$34,3,FALSE),"")</f>
        <v>0</v>
      </c>
      <c r="K58" s="172">
        <v>1</v>
      </c>
      <c r="L58" s="156" t="str">
        <f>UPPER(IF($A$2="R",IF(OR(K58=1,K58="a"),G58,IF(OR(K58=2,K58="b"),G60,"")),IF(OR(K58=1,K58="1"),I58,IF(OR(K58=2,K58="b"),I60,""))))</f>
        <v>ΚΟΥΜΙΔΗΣ</v>
      </c>
      <c r="M58" s="191"/>
      <c r="N58" s="171"/>
      <c r="O58" s="145"/>
      <c r="P58" s="171"/>
      <c r="R58" s="146"/>
      <c r="T58" s="202" t="s">
        <v>11</v>
      </c>
    </row>
    <row r="59" spans="1:20" x14ac:dyDescent="0.2">
      <c r="A59" s="313">
        <v>28</v>
      </c>
      <c r="B59" s="258">
        <f>21-D59+8</f>
        <v>16</v>
      </c>
      <c r="C59" s="259">
        <v>10</v>
      </c>
      <c r="D59" s="260">
        <f>D57+E59</f>
        <v>13</v>
      </c>
      <c r="E59" s="260">
        <f>IF($B$2&gt;=C59,1,0)</f>
        <v>1</v>
      </c>
      <c r="F59" s="315" t="str">
        <f>IF($B$2&gt;=C59,"-",VLOOKUP($B59,[6]Setup!$K$2:$L$33,2,FALSE))</f>
        <v>-</v>
      </c>
      <c r="G59" s="261">
        <f>IF([6]Setup!$B$24="#",0,IF(NOT(F59="-"),VLOOKUP(F59,[6]DrawPrep!$A$3:$I$34,3,FALSE),0))</f>
        <v>0</v>
      </c>
      <c r="H59" s="262" t="str">
        <f>IF(G59&gt;0,VLOOKUP(G59,[6]DrawPrep!$C$3:$G$34,2,FALSE),"bye")</f>
        <v>bye</v>
      </c>
      <c r="I59" s="263" t="str">
        <f t="shared" si="1"/>
        <v/>
      </c>
      <c r="J59" s="264" t="str">
        <f>IF($G59&gt;0,VLOOKUP($G59,[6]DrawPrep!$C$3:$E$34,3,FALSE),"")</f>
        <v/>
      </c>
      <c r="K59" s="129"/>
      <c r="L59" s="217"/>
      <c r="M59" s="145"/>
      <c r="N59" s="171"/>
      <c r="O59" s="114"/>
      <c r="P59" s="188" t="str">
        <f>UPPER(IF($A$2="R",IF(OR(O60=1,O60="a"),N55,IF(OR(O60=2,O60="b"),N63,"")),IF(OR(O60=1,O60="a"),N55,IF(OR(O60=2,O60="b"),N63,""))))</f>
        <v/>
      </c>
      <c r="R59" s="146"/>
      <c r="T59" s="208" t="str">
        <f>"1. " &amp; IF([6]Setup!$B$19&gt;0,LEFT([6]DrawPrep!D3,FIND(" ",[6]DrawPrep!D3)+1)&amp;" - "&amp;LEFT([6]DrawPrep!H3,FIND(" ",[6]DrawPrep!H3)+1),"")</f>
        <v>1. ΑΓΓΕΛΙΝΟΣ Θ - ΓΕΜΟΥΧΙΔΗΣ Π</v>
      </c>
    </row>
    <row r="60" spans="1:20" x14ac:dyDescent="0.2">
      <c r="A60" s="314"/>
      <c r="B60" s="265"/>
      <c r="C60" s="266"/>
      <c r="D60" s="267"/>
      <c r="E60" s="267"/>
      <c r="F60" s="316"/>
      <c r="G60" s="268">
        <f>IF([6]Setup!$B$24="#",0,IF(NOT(F59="-"),VLOOKUP(F59,[6]DrawPrep!$A$3:$I$34,7,FALSE),0))</f>
        <v>0</v>
      </c>
      <c r="H60" s="269" t="str">
        <f>IF(G60&gt;0,VLOOKUP(G60,[6]DrawPrep!$G$3:$I$34,2,FALSE)," ")</f>
        <v xml:space="preserve"> </v>
      </c>
      <c r="I60" s="270" t="str">
        <f t="shared" si="1"/>
        <v/>
      </c>
      <c r="J60" s="271" t="str">
        <f>IF($G60&gt;0,VLOOKUP($G60,[6]DrawPrep!$G$3:$I$34,3,FALSE),"")</f>
        <v/>
      </c>
      <c r="K60" s="129"/>
      <c r="L60" s="118"/>
      <c r="M60" s="145"/>
      <c r="N60" s="171"/>
      <c r="O60" s="172"/>
      <c r="P60" s="156" t="str">
        <f>UPPER(IF($A$2="R",IF(OR(O60=1,O60="a"),N56,IF(OR(O60=2,O60="b"),N64,"")),IF(OR(O60=1,O60="a"),N56,IF(OR(O60=2,O60="b"),N64,""))))</f>
        <v/>
      </c>
      <c r="R60" s="146"/>
      <c r="T60" s="208" t="str">
        <f>"2. " &amp; IF([6]Setup!$B$19&gt;1,LEFT([6]DrawPrep!D4,FIND(" ",[6]DrawPrep!D4)+1)&amp;" - "&amp;LEFT([6]DrawPrep!H4,FIND(" ",[6]DrawPrep!H4)+1),"")</f>
        <v>2. ΒΕΡΜΠΗΣ Θ - ΠΑΠΑΧΡΙΣΤΟΠΟΥΛΟΣ Φ</v>
      </c>
    </row>
    <row r="61" spans="1:20" x14ac:dyDescent="0.2">
      <c r="A61" s="309">
        <v>29</v>
      </c>
      <c r="B61" s="248">
        <f>22-D61+8</f>
        <v>17</v>
      </c>
      <c r="C61" s="272"/>
      <c r="D61" s="250">
        <f>D59+E61</f>
        <v>13</v>
      </c>
      <c r="E61" s="273">
        <v>0</v>
      </c>
      <c r="F61" s="311">
        <f>VLOOKUP($B61,[6]Setup!$K$2:$L$33,2,FALSE)</f>
        <v>11</v>
      </c>
      <c r="G61" s="139">
        <f>IF([6]Setup!$B$24="#",0,IF(F61&gt;0,VLOOKUP(F61,[6]DrawPrep!$A$3:$I$34,3,FALSE),0))</f>
        <v>10</v>
      </c>
      <c r="H61" s="252" t="str">
        <f>IF(G61&gt;0,VLOOKUP(G61,[6]DrawPrep!$C$3:$G$34,2,FALSE),"bye")</f>
        <v>ΧΟΛΕΒΑΣ ΣΩΤΗΡΙΟΣ</v>
      </c>
      <c r="I61" s="238" t="str">
        <f t="shared" si="1"/>
        <v>ΧΟΛΕΒΑΣ</v>
      </c>
      <c r="J61" s="253">
        <f>IF($G61&gt;0,VLOOKUP($G61,[6]DrawPrep!$C$3:$E$34,3,FALSE),"")</f>
        <v>0</v>
      </c>
      <c r="K61" s="114"/>
      <c r="L61" s="217" t="str">
        <f>UPPER(IF($A$2="R",IF(OR(K62=1,K62="a"),G61,IF(OR(K62=2,K62="b"),G63,"")),IF(OR(K62=1,K62="1"),I61,IF(OR(K62=2,K62="b"),I63,""))))</f>
        <v/>
      </c>
      <c r="M61" s="145"/>
      <c r="N61" s="171"/>
      <c r="O61" s="129"/>
      <c r="P61" s="146"/>
      <c r="R61" s="146"/>
      <c r="T61" s="208" t="str">
        <f>"3. " &amp; IF([6]Setup!$B$19&gt;2,LEFT([6]DrawPrep!D5,FIND(" ",[6]DrawPrep!D5)+1)&amp;" - "&amp;LEFT([6]DrawPrep!H5,FIND(" ",[6]DrawPrep!H5)+1),"")</f>
        <v>3. ΣΤΕΡΓΙΟΥ Θ - ΠΑΥΛΗΣ Α</v>
      </c>
    </row>
    <row r="62" spans="1:20" x14ac:dyDescent="0.2">
      <c r="A62" s="310"/>
      <c r="B62" s="254"/>
      <c r="C62" s="274"/>
      <c r="D62" s="256"/>
      <c r="E62" s="275"/>
      <c r="F62" s="312"/>
      <c r="G62" s="154">
        <f>IF([6]Setup!$B$24="#",0,IF(F61&gt;0,VLOOKUP(F61,[6]DrawPrep!$A$3:$I$34,7,FALSE),0))</f>
        <v>27</v>
      </c>
      <c r="H62" s="144" t="str">
        <f>IF(G62&gt;0,VLOOKUP(G62,[6]DrawPrep!$G$3:$I$34,2,FALSE)," ")</f>
        <v>ΚΑΒΑΛΛΑΣ ΘΟΔΩΡΗΣ</v>
      </c>
      <c r="I62" s="246" t="str">
        <f t="shared" si="1"/>
        <v>ΚΑΒΑΛΛΑΣ</v>
      </c>
      <c r="J62" s="156">
        <f>IF($G62&gt;0,VLOOKUP($G62,[6]DrawPrep!$G$3:$I$34,3,FALSE),"")</f>
        <v>0</v>
      </c>
      <c r="K62" s="224"/>
      <c r="L62" s="217" t="str">
        <f>UPPER(IF($A$2="R",IF(OR(K62=1,K62="a"),G62,IF(OR(K62=2,K62="b"),G64,"")),IF(OR(K62=1,K62="1"),I62,IF(OR(K62=2,K62="b"),I64,""))))</f>
        <v/>
      </c>
      <c r="M62" s="145"/>
      <c r="N62" s="171"/>
      <c r="O62" s="145"/>
      <c r="P62" s="146"/>
      <c r="R62" s="146"/>
      <c r="T62" s="208" t="str">
        <f>"4. " &amp; IF([6]Setup!$B$19&gt;3,LEFT([6]DrawPrep!D6,FIND(" ",[6]DrawPrep!D6)+1)&amp;" - "&amp;LEFT([6]DrawPrep!H6,FIND(" ",[6]DrawPrep!H6)+1),"")</f>
        <v>4. ΣΑΚΕΛΛΑΡΙΔΗΣ Μ - ΝΙΑΡΧΟΣ Ν</v>
      </c>
    </row>
    <row r="63" spans="1:20" x14ac:dyDescent="0.2">
      <c r="A63" s="309">
        <v>30</v>
      </c>
      <c r="B63" s="248">
        <f>23-D63+8</f>
        <v>18</v>
      </c>
      <c r="C63" s="249">
        <v>16</v>
      </c>
      <c r="D63" s="250">
        <f>D61+E63</f>
        <v>13</v>
      </c>
      <c r="E63" s="251">
        <f>IF($B$2&gt;=C63,1,0)</f>
        <v>0</v>
      </c>
      <c r="F63" s="311">
        <f>IF($B$2&gt;=C63,"-",VLOOKUP($B63,[6]Setup!$K$2:$L$33,2,FALSE))</f>
        <v>17</v>
      </c>
      <c r="G63" s="139">
        <f>IF([6]Setup!$B$24="#",0,IF(NOT(F63="-"),VLOOKUP(F63,[6]DrawPrep!$A$3:$I$34,3,FALSE),0))</f>
        <v>15</v>
      </c>
      <c r="H63" s="252" t="str">
        <f>IF(G63&gt;0,VLOOKUP(G63,[6]DrawPrep!$C$3:$G$34,2,FALSE),"bye")</f>
        <v>ΚΑΛΟΓΕΡΟΠΟΥΛΟΣ ΠΑΝΑΓΙΩΤΗΣ</v>
      </c>
      <c r="I63" s="238" t="str">
        <f t="shared" si="1"/>
        <v>ΚΑΛΟΓΕΡΟΠΟΥΛΟΣ</v>
      </c>
      <c r="J63" s="253">
        <f>IF($G63&gt;0,VLOOKUP($G63,[6]DrawPrep!$C$3:$E$34,3,FALSE),"")</f>
        <v>0</v>
      </c>
      <c r="K63" s="157"/>
      <c r="L63" s="158"/>
      <c r="M63" s="114"/>
      <c r="N63" s="188" t="str">
        <f>UPPER(IF($A$2="R",IF(OR(M64=1,M64="a"),L61,IF(OR(M64=2,M63="b"),L65,"")),IF(OR(M64=1,M64="a"),L61,IF(OR(M64=2,M64="b"),L65,""))))</f>
        <v/>
      </c>
      <c r="O63" s="145"/>
      <c r="P63" s="146"/>
      <c r="R63" s="146"/>
      <c r="T63" s="295" t="str">
        <f>"5. " &amp; IF([6]Setup!$B$19&gt;4,LEFT([6]DrawPrep!D7,FIND(" ",[6]DrawPrep!D7)+1)&amp;" - "&amp;LEFT([6]DrawPrep!H7,FIND(" ",[6]DrawPrep!H7)+1),"")</f>
        <v>5. ΣΗΜΑΙΟΦΟΡΙΔΗΣ Χ - ΓΛΕΖΟΣ Μ</v>
      </c>
    </row>
    <row r="64" spans="1:20" x14ac:dyDescent="0.2">
      <c r="A64" s="310"/>
      <c r="B64" s="254"/>
      <c r="C64" s="255"/>
      <c r="D64" s="256"/>
      <c r="E64" s="257"/>
      <c r="F64" s="312"/>
      <c r="G64" s="154">
        <f>IF([6]Setup!$B$24="#",0,IF(NOT(F63="-"),VLOOKUP(F63,[6]DrawPrep!$A$3:$I$34,7,FALSE),0))</f>
        <v>32</v>
      </c>
      <c r="H64" s="144" t="str">
        <f>IF(G64&gt;0,VLOOKUP(G64,[6]DrawPrep!$G$3:$I$34,2,FALSE)," ")</f>
        <v>ΤΕΝΕΝΤΕΣ ΧΡΗΣΤΟΣ</v>
      </c>
      <c r="I64" s="246" t="str">
        <f t="shared" si="1"/>
        <v>ΤΕΝΕΝΤΕΣ</v>
      </c>
      <c r="J64" s="156">
        <f>IF($G64&gt;0,VLOOKUP($G64,[6]DrawPrep!$G$3:$I$34,3,FALSE),"")</f>
        <v>0</v>
      </c>
      <c r="K64" s="129"/>
      <c r="L64" s="171"/>
      <c r="M64" s="172"/>
      <c r="N64" s="156" t="str">
        <f>UPPER(IF($A$2="R",IF(OR(M64=1,M64="a"),L62,IF(OR(M64=2,M64="b"),L66,"")),IF(OR(M64=1,M64="a"),L62,IF(OR(M64=2,M64="b"),L66,""))))</f>
        <v/>
      </c>
      <c r="O64" s="145"/>
      <c r="P64" s="146"/>
      <c r="R64" s="146"/>
      <c r="T64" s="295" t="str">
        <f>"6. " &amp; IF([6]Setup!$B$19&gt;5,LEFT([6]DrawPrep!D8,FIND(" ",[6]DrawPrep!D8)+1)&amp;" - "&amp;LEFT([6]DrawPrep!H8,FIND(" ",[6]DrawPrep!H8)+1),"")</f>
        <v>6. ΒΕΝΕΤΗΣ Τ - ΑΝΔΡΟΥΤΣΕΛΗΣ Γ</v>
      </c>
    </row>
    <row r="65" spans="1:20" x14ac:dyDescent="0.2">
      <c r="A65" s="313">
        <v>31</v>
      </c>
      <c r="B65" s="258">
        <f>24-D65+8</f>
        <v>18</v>
      </c>
      <c r="C65" s="259">
        <v>2</v>
      </c>
      <c r="D65" s="260">
        <f>D63+E65</f>
        <v>14</v>
      </c>
      <c r="E65" s="260">
        <f>IF($B$2&gt;=C65,1,0)</f>
        <v>1</v>
      </c>
      <c r="F65" s="315" t="str">
        <f>IF($B$2&gt;=C65,"-",VLOOKUP($B65,[6]Setup!$K$2:$L$33,2,FALSE))</f>
        <v>-</v>
      </c>
      <c r="G65" s="261">
        <f>IF([6]Setup!$B$24="#",0,IF(NOT(F65="-"),VLOOKUP(F65,[6]DrawPrep!$A$3:$I$34,3,FALSE),0))</f>
        <v>0</v>
      </c>
      <c r="H65" s="262" t="str">
        <f>IF(G65&gt;0,VLOOKUP(G65,[6]DrawPrep!$C$3:$G$34,2,FALSE),"bye")</f>
        <v>bye</v>
      </c>
      <c r="I65" s="263" t="str">
        <f t="shared" si="1"/>
        <v/>
      </c>
      <c r="J65" s="264" t="str">
        <f>IF($G65&gt;0,VLOOKUP($G65,[6]DrawPrep!$C$3:$E$34,3,FALSE),"")</f>
        <v/>
      </c>
      <c r="K65" s="114"/>
      <c r="L65" s="217" t="str">
        <f>UPPER(IF($A$2="R",IF(OR(K66=1,K66="a"),G65,IF(OR(K66=2,K66="b"),G67,"")),IF(OR(K66=1,K66="1"),I65,IF(OR(K66=2,K66="b"),I67,""))))</f>
        <v>ΒΕΡΜΠΗΣ</v>
      </c>
      <c r="M65" s="191"/>
      <c r="N65" s="178"/>
      <c r="O65" s="145"/>
      <c r="R65" s="210" t="s">
        <v>12</v>
      </c>
      <c r="T65" s="295" t="str">
        <f>"7. " &amp; IF([6]Setup!$B$19&gt;6,LEFT([6]DrawPrep!D9,FIND(" ",[6]DrawPrep!D9)+1)&amp;" - "&amp;LEFT([6]DrawPrep!H9,FIND(" ",[6]DrawPrep!H9)+1),"")</f>
        <v>7. ΣΤΑΥΡΙΔΗΣ Γ - ΚΟΚΟΤΑΣ Ν</v>
      </c>
    </row>
    <row r="66" spans="1:20" x14ac:dyDescent="0.2">
      <c r="A66" s="314"/>
      <c r="B66" s="265"/>
      <c r="C66" s="266"/>
      <c r="D66" s="267"/>
      <c r="E66" s="267"/>
      <c r="F66" s="316"/>
      <c r="G66" s="268">
        <f>IF([6]Setup!$B$24="#",0,IF(NOT(F65="-"),VLOOKUP(F65,[6]DrawPrep!$A$3:$I$34,7,FALSE),0))</f>
        <v>0</v>
      </c>
      <c r="H66" s="269" t="str">
        <f>IF(G66&gt;0,VLOOKUP(G66,[6]DrawPrep!$G$3:$I$34,2,FALSE)," ")</f>
        <v xml:space="preserve"> </v>
      </c>
      <c r="I66" s="270" t="str">
        <f t="shared" si="1"/>
        <v/>
      </c>
      <c r="J66" s="271" t="str">
        <f>IF($G66&gt;0,VLOOKUP($G66,[6]DrawPrep!$G$3:$I$34,3,FALSE),"")</f>
        <v/>
      </c>
      <c r="K66" s="172">
        <v>2</v>
      </c>
      <c r="L66" s="144" t="str">
        <f>UPPER(IF($A$2="R",IF(OR(K66=1,K66="a"),G66,IF(OR(K66=2,K66="b"),G68,"")),IF(OR(K66=1,K66="1"),I66,IF(OR(K66=2,K66="b"),I68,""))))</f>
        <v>ΠΑΠΑΧΡΙΣΤΟΠΟΥΛΟΣ</v>
      </c>
      <c r="M66" s="191"/>
      <c r="N66" s="146"/>
      <c r="O66" s="145"/>
      <c r="R66" s="302" t="str">
        <f>[6]Setup!B10</f>
        <v>Ταμπόση Τ.</v>
      </c>
      <c r="T66" s="295" t="str">
        <f>"8. " &amp; IF([6]Setup!$B$19&gt;7,LEFT([6]DrawPrep!D10,FIND(" ",[6]DrawPrep!D10)+1)&amp;" - "&amp;LEFT([6]DrawPrep!H10,FIND(" ",[6]DrawPrep!H10)+1),"")</f>
        <v>8. ΠΑΠΑΪΩΑΝΝΟΥ Γ - ΠΑΠΑΓΕΩΡΓΙΟΥ Γ</v>
      </c>
    </row>
    <row r="67" spans="1:20" x14ac:dyDescent="0.2">
      <c r="A67" s="313">
        <v>32</v>
      </c>
      <c r="B67" s="258">
        <v>2</v>
      </c>
      <c r="C67" s="259"/>
      <c r="D67" s="260">
        <f>D65+E67</f>
        <v>14</v>
      </c>
      <c r="E67" s="260">
        <v>0</v>
      </c>
      <c r="F67" s="315">
        <f>VLOOKUP($B67,[6]Setup!$K$2:$L$33,2,FALSE)</f>
        <v>2</v>
      </c>
      <c r="G67" s="276">
        <f>IF([6]Setup!$B$24="#",0,IF(F67&gt;0,VLOOKUP(F67,[6]DrawPrep!$A$3:$I$34,3,FALSE),0))</f>
        <v>35</v>
      </c>
      <c r="H67" s="277" t="str">
        <f>IF(G67&gt;0,VLOOKUP(G67,[6]DrawPrep!$C$3:$G$34,2,FALSE),"bye")</f>
        <v>ΒΕΡΜΠΗΣ ΘΑΝΑΣΗΣ</v>
      </c>
      <c r="I67" s="263" t="str">
        <f t="shared" si="1"/>
        <v>ΒΕΡΜΠΗΣ</v>
      </c>
      <c r="J67" s="278">
        <f>IF($G67&gt;0,VLOOKUP($G67,[6]DrawPrep!$C$3:$E$34,3,FALSE),"")</f>
        <v>0</v>
      </c>
      <c r="K67" s="129"/>
      <c r="L67" s="146"/>
      <c r="N67" s="146"/>
      <c r="Q67" s="129"/>
    </row>
    <row r="68" spans="1:20" x14ac:dyDescent="0.2">
      <c r="A68" s="314"/>
      <c r="B68" s="296"/>
      <c r="C68" s="287"/>
      <c r="D68" s="288"/>
      <c r="E68" s="288"/>
      <c r="F68" s="316"/>
      <c r="G68" s="279">
        <f>IF([6]Setup!$B$24="#",0,IF(F67&gt;0,VLOOKUP(F67,[6]DrawPrep!$A$3:$I$34,7,FALSE),0))</f>
        <v>36</v>
      </c>
      <c r="H68" s="289" t="str">
        <f>IF(G68&gt;0,VLOOKUP(G68,[6]DrawPrep!$G$3:$I$34,2,FALSE)," ")</f>
        <v>ΠΑΠΑΧΡΙΣΤΟΠΟΥΛΟΣ ΦΙΛΙΠΠΟΣ</v>
      </c>
      <c r="I68" s="290" t="str">
        <f t="shared" si="1"/>
        <v>ΠΑΠΑΧΡΙΣΤΟΠΟΥΛΟΣ</v>
      </c>
      <c r="J68" s="291">
        <f>IF($G68&gt;0,VLOOKUP($G68,[6]DrawPrep!$G$3:$I$34,3,FALSE),"")</f>
        <v>0</v>
      </c>
      <c r="K68" s="129"/>
      <c r="L68" s="146"/>
      <c r="N68" s="146"/>
    </row>
    <row r="70" spans="1:20" x14ac:dyDescent="0.2">
      <c r="I70" s="199"/>
      <c r="J70" s="199"/>
      <c r="Q70" s="207"/>
    </row>
    <row r="71" spans="1:20" x14ac:dyDescent="0.2">
      <c r="I71" s="208"/>
      <c r="Q71" s="302"/>
    </row>
    <row r="72" spans="1:20" x14ac:dyDescent="0.2">
      <c r="I72" s="208"/>
    </row>
    <row r="73" spans="1:20" x14ac:dyDescent="0.2">
      <c r="I73" s="208"/>
    </row>
    <row r="74" spans="1:20" x14ac:dyDescent="0.2">
      <c r="I74" s="208"/>
    </row>
    <row r="89" spans="8:8" x14ac:dyDescent="0.2">
      <c r="H89" s="202" t="s">
        <v>13</v>
      </c>
    </row>
    <row r="90" spans="8:8" x14ac:dyDescent="0.2">
      <c r="H90" s="208" t="str">
        <f>IF([6]Setup!$B$19&gt;0,LEFT([6]DrawPrep!$D$3,FIND(" ",[6]DrawPrep!$D$3)-1))</f>
        <v>ΑΓΓΕΛΙΝΟΣ</v>
      </c>
    </row>
    <row r="91" spans="8:8" x14ac:dyDescent="0.2">
      <c r="H91" s="208" t="str">
        <f>IF([6]Setup!$B$19&gt;0,LEFT([6]DrawPrep!$H$3,FIND(" ",[6]DrawPrep!$H$3)-1),"")</f>
        <v>ΓΕΜΟΥΧΙΔΗΣ</v>
      </c>
    </row>
    <row r="92" spans="8:8" x14ac:dyDescent="0.2">
      <c r="H92" s="208" t="str">
        <f>IF([6]Setup!$B$19&gt;1,LEFT([6]DrawPrep!$D$4,FIND(" ",[6]DrawPrep!$D$4)-1))</f>
        <v>ΒΕΡΜΠΗΣ</v>
      </c>
    </row>
    <row r="93" spans="8:8" x14ac:dyDescent="0.2">
      <c r="H93" s="208" t="str">
        <f>IF([6]Setup!$B$19&gt;1,LEFT([6]DrawPrep!$H$4,FIND(" ",[6]DrawPrep!$H$4)-1),"")</f>
        <v>ΠΑΠΑΧΡΙΣΤΟΠΟΥΛΟΣ</v>
      </c>
    </row>
    <row r="94" spans="8:8" x14ac:dyDescent="0.2">
      <c r="H94" s="208" t="str">
        <f>IF([6]Setup!$B$19&gt;2,LEFT([6]DrawPrep!$D$5,FIND(" ",[6]DrawPrep!$D$5)-1))</f>
        <v>ΣΤΕΡΓΙΟΥ</v>
      </c>
    </row>
    <row r="95" spans="8:8" x14ac:dyDescent="0.2">
      <c r="H95" s="208" t="str">
        <f>IF([6]Setup!$B$19&gt;2,LEFT([6]DrawPrep!$H$5,FIND(" ",[6]DrawPrep!$H$5)-1),"")</f>
        <v>ΠΑΥΛΗΣ</v>
      </c>
    </row>
    <row r="96" spans="8:8" x14ac:dyDescent="0.2">
      <c r="H96" s="208" t="str">
        <f>IF([6]Setup!$B$19&gt;3,LEFT([6]DrawPrep!$D$6,FIND(" ",[6]DrawPrep!$D$6)-1))</f>
        <v>ΣΑΚΕΛΛΑΡΙΔΗΣ</v>
      </c>
    </row>
    <row r="97" spans="8:8" x14ac:dyDescent="0.2">
      <c r="H97" s="208" t="str">
        <f>IF([6]Setup!$B$19&gt;3,LEFT([6]DrawPrep!$H$6,FIND(" ",[6]DrawPrep!$H$6)-1),"")</f>
        <v>ΝΙΑΡΧΟΣ</v>
      </c>
    </row>
    <row r="98" spans="8:8" x14ac:dyDescent="0.2">
      <c r="H98" s="208" t="str">
        <f>IF([6]Setup!$B$19&gt;4,LEFT([6]DrawPrep!$D$7,FIND(" ",[6]DrawPrep!$D$7)-1))</f>
        <v>ΣΗΜΑΙΟΦΟΡΙΔΗΣ</v>
      </c>
    </row>
    <row r="99" spans="8:8" x14ac:dyDescent="0.2">
      <c r="H99" s="208" t="str">
        <f>IF([6]Setup!$B$19&gt;4,LEFT([6]DrawPrep!$H$7,FIND(" ",[6]DrawPrep!$H$7)-1),"")</f>
        <v>ΓΛΕΖΟΣ</v>
      </c>
    </row>
    <row r="100" spans="8:8" x14ac:dyDescent="0.2">
      <c r="H100" s="208" t="str">
        <f>IF([6]Setup!$B$19&gt;5,LEFT([6]DrawPrep!$D$8,FIND(" ",[6]DrawPrep!$D$8)-1))</f>
        <v>ΒΕΝΕΤΗΣ</v>
      </c>
    </row>
    <row r="101" spans="8:8" x14ac:dyDescent="0.2">
      <c r="H101" s="208" t="str">
        <f>IF([6]Setup!$B$19&gt;5,LEFT([6]DrawPrep!$H$8,FIND(" ",[6]DrawPrep!$H$8)-1),"")</f>
        <v>ΑΝΔΡΟΥΤΣΕΛΗΣ</v>
      </c>
    </row>
    <row r="102" spans="8:8" x14ac:dyDescent="0.2">
      <c r="H102" s="208" t="str">
        <f>IF([6]Setup!$B$19&gt;6,LEFT([6]DrawPrep!$D$9,FIND(" ",[6]DrawPrep!$D$9)-1))</f>
        <v>ΣΤΑΥΡΙΔΗΣ</v>
      </c>
    </row>
    <row r="103" spans="8:8" x14ac:dyDescent="0.2">
      <c r="H103" s="208" t="str">
        <f>IF([6]Setup!$B$19&gt;6,LEFT([6]DrawPrep!$H$9,FIND(" ",[6]DrawPrep!$H$9)-1),"")</f>
        <v>ΚΟΚΟΤΑΣ</v>
      </c>
    </row>
    <row r="104" spans="8:8" x14ac:dyDescent="0.2">
      <c r="H104" s="208" t="str">
        <f>IF([6]Setup!$B$19&gt;7,LEFT([6]DrawPrep!$D$10,FIND(" ",[6]DrawPrep!$D$10)-1))</f>
        <v>ΠΑΠΑΪΩΑΝΝΟΥ</v>
      </c>
    </row>
    <row r="105" spans="8:8" x14ac:dyDescent="0.2">
      <c r="H105" s="208" t="str">
        <f>IF([6]Setup!$B$19&gt;7,LEFT([6]DrawPrep!$H$10,FIND(" ",[6]DrawPrep!$H$10)-1),"")</f>
        <v>ΠΑΠΑΓΕΩΡΓΙΟΥ</v>
      </c>
    </row>
  </sheetData>
  <sheetProtection password="CF33" sheet="1" objects="1" scenarios="1" formatCells="0" formatColumns="0" formatRows="0"/>
  <mergeCells count="66">
    <mergeCell ref="A63:A64"/>
    <mergeCell ref="F63:F64"/>
    <mergeCell ref="A65:A66"/>
    <mergeCell ref="F65:F66"/>
    <mergeCell ref="A67:A68"/>
    <mergeCell ref="F67:F68"/>
    <mergeCell ref="A57:A58"/>
    <mergeCell ref="F57:F58"/>
    <mergeCell ref="A59:A60"/>
    <mergeCell ref="F59:F60"/>
    <mergeCell ref="A61:A62"/>
    <mergeCell ref="F61:F62"/>
    <mergeCell ref="A51:A52"/>
    <mergeCell ref="F51:F52"/>
    <mergeCell ref="A53:A54"/>
    <mergeCell ref="F53:F54"/>
    <mergeCell ref="A55:A56"/>
    <mergeCell ref="F55:F56"/>
    <mergeCell ref="A45:A46"/>
    <mergeCell ref="F45:F46"/>
    <mergeCell ref="A47:A48"/>
    <mergeCell ref="F47:F48"/>
    <mergeCell ref="A49:A50"/>
    <mergeCell ref="F49:F50"/>
    <mergeCell ref="A39:A40"/>
    <mergeCell ref="F39:F40"/>
    <mergeCell ref="A41:A42"/>
    <mergeCell ref="F41:F42"/>
    <mergeCell ref="A43:A44"/>
    <mergeCell ref="F43:F44"/>
    <mergeCell ref="A33:A34"/>
    <mergeCell ref="F33:F34"/>
    <mergeCell ref="A35:A36"/>
    <mergeCell ref="F35:F36"/>
    <mergeCell ref="A37:A38"/>
    <mergeCell ref="F37:F38"/>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P1"/>
    <mergeCell ref="H3:J3"/>
    <mergeCell ref="A5:A6"/>
    <mergeCell ref="F5:F6"/>
    <mergeCell ref="A7:A8"/>
    <mergeCell ref="F7:F8"/>
  </mergeCells>
  <conditionalFormatting sqref="L5">
    <cfRule type="expression" dxfId="63" priority="63">
      <formula>MATCH(L5,$H$90:$H$105,0)</formula>
    </cfRule>
  </conditionalFormatting>
  <conditionalFormatting sqref="L6">
    <cfRule type="expression" dxfId="62" priority="62">
      <formula>MATCH(L6,$H$90:$H$105,0)</formula>
    </cfRule>
  </conditionalFormatting>
  <conditionalFormatting sqref="L10">
    <cfRule type="expression" dxfId="61" priority="61">
      <formula>MATCH(L10,$H$90:$H$105,0)</formula>
    </cfRule>
  </conditionalFormatting>
  <conditionalFormatting sqref="L13">
    <cfRule type="expression" dxfId="60" priority="60">
      <formula>MATCH(L13,$H$90:$H$105,0)</formula>
    </cfRule>
  </conditionalFormatting>
  <conditionalFormatting sqref="L14">
    <cfRule type="expression" dxfId="59" priority="59">
      <formula>MATCH(L14,$H$90:$H$105,0)</formula>
    </cfRule>
  </conditionalFormatting>
  <conditionalFormatting sqref="L21">
    <cfRule type="expression" dxfId="58" priority="58">
      <formula>MATCH(L21,$H$90:$H$105,0)</formula>
    </cfRule>
  </conditionalFormatting>
  <conditionalFormatting sqref="L22">
    <cfRule type="expression" dxfId="57" priority="57">
      <formula>MATCH(L22,$H$90:$H$105,0)</formula>
    </cfRule>
  </conditionalFormatting>
  <conditionalFormatting sqref="L29">
    <cfRule type="expression" dxfId="56" priority="56">
      <formula>MATCH(L29,$H$90:$H$105,0)</formula>
    </cfRule>
  </conditionalFormatting>
  <conditionalFormatting sqref="L30">
    <cfRule type="expression" dxfId="55" priority="55">
      <formula>MATCH(L30,$H$90:$H$105,0)</formula>
    </cfRule>
  </conditionalFormatting>
  <conditionalFormatting sqref="L37">
    <cfRule type="expression" dxfId="54" priority="54">
      <formula>MATCH(L37,$H$90:$H$105,0)</formula>
    </cfRule>
  </conditionalFormatting>
  <conditionalFormatting sqref="L38">
    <cfRule type="expression" dxfId="53" priority="53">
      <formula>MATCH(L38,$H$90:$H$105,0)</formula>
    </cfRule>
  </conditionalFormatting>
  <conditionalFormatting sqref="L45">
    <cfRule type="expression" dxfId="52" priority="52">
      <formula>MATCH(L45,$H$90:$H$105,0)</formula>
    </cfRule>
  </conditionalFormatting>
  <conditionalFormatting sqref="L46">
    <cfRule type="expression" dxfId="51" priority="51">
      <formula>MATCH(L46,$H$90:$H$105,0)</formula>
    </cfRule>
  </conditionalFormatting>
  <conditionalFormatting sqref="L53">
    <cfRule type="expression" dxfId="50" priority="50">
      <formula>MATCH(L53,$H$90:$H$105,0)</formula>
    </cfRule>
  </conditionalFormatting>
  <conditionalFormatting sqref="L54">
    <cfRule type="expression" dxfId="49" priority="49">
      <formula>MATCH(L54,$H$90:$H$105,0)</formula>
    </cfRule>
  </conditionalFormatting>
  <conditionalFormatting sqref="L61">
    <cfRule type="expression" dxfId="48" priority="48">
      <formula>MATCH(L61,$H$90:$H$105,0)</formula>
    </cfRule>
  </conditionalFormatting>
  <conditionalFormatting sqref="L62">
    <cfRule type="expression" dxfId="47" priority="47">
      <formula>MATCH(L62,$H$90:$H$105,0)</formula>
    </cfRule>
  </conditionalFormatting>
  <conditionalFormatting sqref="L17">
    <cfRule type="expression" dxfId="46" priority="46">
      <formula>MATCH(L17,$H$90:$H$105,0)</formula>
    </cfRule>
  </conditionalFormatting>
  <conditionalFormatting sqref="L18">
    <cfRule type="expression" dxfId="45" priority="45">
      <formula>MATCH(L18,$H$90:$H$105,0)</formula>
    </cfRule>
  </conditionalFormatting>
  <conditionalFormatting sqref="L26">
    <cfRule type="expression" dxfId="44" priority="44">
      <formula>MATCH(L26,$H$90:$H$105,0)</formula>
    </cfRule>
  </conditionalFormatting>
  <conditionalFormatting sqref="L34">
    <cfRule type="expression" dxfId="43" priority="43">
      <formula>MATCH(L34,$H$90:$H$105,0)</formula>
    </cfRule>
  </conditionalFormatting>
  <conditionalFormatting sqref="L42">
    <cfRule type="expression" dxfId="42" priority="42">
      <formula>MATCH(L42,$H$90:$H$105,0)</formula>
    </cfRule>
  </conditionalFormatting>
  <conditionalFormatting sqref="L50">
    <cfRule type="expression" dxfId="41" priority="41">
      <formula>MATCH(L50,$H$90:$H$105,0)</formula>
    </cfRule>
  </conditionalFormatting>
  <conditionalFormatting sqref="L58">
    <cfRule type="expression" dxfId="40" priority="40">
      <formula>MATCH(L58,$H$90:$H$105,0)</formula>
    </cfRule>
  </conditionalFormatting>
  <conditionalFormatting sqref="L66">
    <cfRule type="expression" dxfId="39" priority="39">
      <formula>MATCH(L66,$H$90:$H$105,0)</formula>
    </cfRule>
  </conditionalFormatting>
  <conditionalFormatting sqref="N7">
    <cfRule type="expression" dxfId="38" priority="38">
      <formula>MATCH(N7,$H$90:$H$105,0)</formula>
    </cfRule>
  </conditionalFormatting>
  <conditionalFormatting sqref="N8">
    <cfRule type="expression" dxfId="37" priority="37">
      <formula>MATCH(N8,$H$90:$H$105,0)</formula>
    </cfRule>
  </conditionalFormatting>
  <conditionalFormatting sqref="N15">
    <cfRule type="expression" dxfId="36" priority="36">
      <formula>MATCH(N15,$H$90:$H$105,0)</formula>
    </cfRule>
  </conditionalFormatting>
  <conditionalFormatting sqref="N16">
    <cfRule type="expression" dxfId="35" priority="35">
      <formula>MATCH(N16,$H$90:$H$105,0)</formula>
    </cfRule>
  </conditionalFormatting>
  <conditionalFormatting sqref="N23">
    <cfRule type="expression" dxfId="34" priority="34">
      <formula>MATCH(N23,$H$90:$H$105,0)</formula>
    </cfRule>
  </conditionalFormatting>
  <conditionalFormatting sqref="N24">
    <cfRule type="expression" dxfId="33" priority="33">
      <formula>MATCH(N24,$H$90:$H$105,0)</formula>
    </cfRule>
  </conditionalFormatting>
  <conditionalFormatting sqref="N31">
    <cfRule type="expression" dxfId="32" priority="32">
      <formula>MATCH(N31,$H$90:$H$105,0)</formula>
    </cfRule>
  </conditionalFormatting>
  <conditionalFormatting sqref="N32">
    <cfRule type="expression" dxfId="31" priority="31">
      <formula>MATCH(N32,$H$90:$H$105,0)</formula>
    </cfRule>
  </conditionalFormatting>
  <conditionalFormatting sqref="N39">
    <cfRule type="expression" dxfId="30" priority="30">
      <formula>MATCH(N39,$H$90:$H$105,0)</formula>
    </cfRule>
  </conditionalFormatting>
  <conditionalFormatting sqref="N40">
    <cfRule type="expression" dxfId="29" priority="29">
      <formula>MATCH(N40,$H$90:$H$105,0)</formula>
    </cfRule>
  </conditionalFormatting>
  <conditionalFormatting sqref="N47">
    <cfRule type="expression" dxfId="28" priority="28">
      <formula>MATCH(N47,$H$90:$H$105,0)</formula>
    </cfRule>
  </conditionalFormatting>
  <conditionalFormatting sqref="N48">
    <cfRule type="expression" dxfId="27" priority="27">
      <formula>MATCH(N48,$H$90:$H$105,0)</formula>
    </cfRule>
  </conditionalFormatting>
  <conditionalFormatting sqref="N55">
    <cfRule type="expression" dxfId="26" priority="26">
      <formula>MATCH(N55,$H$90:$H$105,0)</formula>
    </cfRule>
  </conditionalFormatting>
  <conditionalFormatting sqref="N56">
    <cfRule type="expression" dxfId="25" priority="25">
      <formula>MATCH(N56,$H$90:$H$105,0)</formula>
    </cfRule>
  </conditionalFormatting>
  <conditionalFormatting sqref="N63">
    <cfRule type="expression" dxfId="24" priority="24">
      <formula>MATCH(N63,$H$90:$H$105,0)</formula>
    </cfRule>
  </conditionalFormatting>
  <conditionalFormatting sqref="N64">
    <cfRule type="expression" dxfId="23" priority="23">
      <formula>MATCH(N64,$H$90:$H$105,0)</formula>
    </cfRule>
  </conditionalFormatting>
  <conditionalFormatting sqref="P59">
    <cfRule type="expression" dxfId="22" priority="22">
      <formula>MATCH(P59,$H$90:$H$105,0)</formula>
    </cfRule>
  </conditionalFormatting>
  <conditionalFormatting sqref="P60">
    <cfRule type="expression" dxfId="21" priority="21">
      <formula>MATCH(P60,$H$90:$H$105,0)</formula>
    </cfRule>
  </conditionalFormatting>
  <conditionalFormatting sqref="P43">
    <cfRule type="expression" dxfId="20" priority="20">
      <formula>MATCH(P43,$H$90:$H$105,0)</formula>
    </cfRule>
  </conditionalFormatting>
  <conditionalFormatting sqref="P44">
    <cfRule type="expression" dxfId="19" priority="19">
      <formula>MATCH(P44,$H$90:$H$105,0)</formula>
    </cfRule>
  </conditionalFormatting>
  <conditionalFormatting sqref="P10">
    <cfRule type="expression" dxfId="18" priority="18">
      <formula>MATCH(P10,$H$90:$H$105,0)</formula>
    </cfRule>
  </conditionalFormatting>
  <conditionalFormatting sqref="P12">
    <cfRule type="expression" dxfId="17" priority="17">
      <formula>MATCH(P12,$H$90:$H$105,0)</formula>
    </cfRule>
  </conditionalFormatting>
  <conditionalFormatting sqref="P27">
    <cfRule type="expression" dxfId="16" priority="16">
      <formula>MATCH(P27,$H$90:$H$105,0)</formula>
    </cfRule>
  </conditionalFormatting>
  <conditionalFormatting sqref="P28">
    <cfRule type="expression" dxfId="15" priority="15">
      <formula>MATCH(P28,$H$90:$H$105,0)</formula>
    </cfRule>
  </conditionalFormatting>
  <conditionalFormatting sqref="P11">
    <cfRule type="expression" dxfId="14" priority="14">
      <formula>MATCH(P11,$H$90:$H$105,0)</formula>
    </cfRule>
  </conditionalFormatting>
  <conditionalFormatting sqref="R19">
    <cfRule type="expression" dxfId="13" priority="13">
      <formula>MATCH(R19,$H$90:$H$105,0)</formula>
    </cfRule>
  </conditionalFormatting>
  <conditionalFormatting sqref="R20">
    <cfRule type="expression" dxfId="12" priority="12">
      <formula>MATCH(R20,$H$90:$H$105,0)</formula>
    </cfRule>
  </conditionalFormatting>
  <conditionalFormatting sqref="R35">
    <cfRule type="expression" dxfId="11" priority="11">
      <formula>MATCH(R35,$H$90:$H$105,0)</formula>
    </cfRule>
  </conditionalFormatting>
  <conditionalFormatting sqref="R36">
    <cfRule type="expression" dxfId="10" priority="10">
      <formula>MATCH(R36,$H$90:$H$105,0)</formula>
    </cfRule>
  </conditionalFormatting>
  <conditionalFormatting sqref="R51">
    <cfRule type="expression" dxfId="9" priority="9">
      <formula>MATCH(R51,$H$90:$H$105,0)</formula>
    </cfRule>
  </conditionalFormatting>
  <conditionalFormatting sqref="R52">
    <cfRule type="expression" dxfId="8" priority="8">
      <formula>MATCH(R52,$H$90:$H$105,0)</formula>
    </cfRule>
  </conditionalFormatting>
  <conditionalFormatting sqref="L9">
    <cfRule type="expression" dxfId="7" priority="7">
      <formula>MATCH(L9,$H$90:$H$105,0)</formula>
    </cfRule>
  </conditionalFormatting>
  <conditionalFormatting sqref="L65">
    <cfRule type="expression" dxfId="6" priority="6">
      <formula>MATCH(L65,$H$90:$H$105,0)</formula>
    </cfRule>
  </conditionalFormatting>
  <conditionalFormatting sqref="L57">
    <cfRule type="expression" dxfId="5" priority="5">
      <formula>MATCH(L57,$H$90:$H$105,0)</formula>
    </cfRule>
  </conditionalFormatting>
  <conditionalFormatting sqref="L49">
    <cfRule type="expression" dxfId="4" priority="4">
      <formula>MATCH(L49,$H$90:$H$105,0)</formula>
    </cfRule>
  </conditionalFormatting>
  <conditionalFormatting sqref="L41">
    <cfRule type="expression" dxfId="3" priority="3">
      <formula>MATCH(L41,$H$90:$H$105,0)</formula>
    </cfRule>
  </conditionalFormatting>
  <conditionalFormatting sqref="L33">
    <cfRule type="expression" dxfId="2" priority="2">
      <formula>MATCH(L33,$H$90:$H$105,0)</formula>
    </cfRule>
  </conditionalFormatting>
  <conditionalFormatting sqref="L25">
    <cfRule type="expression" dxfId="1" priority="1">
      <formula>MATCH(L25,$H$90:$H$105,0)</formula>
    </cfRule>
  </conditionalFormatting>
  <printOptions horizontalCentered="1"/>
  <pageMargins left="0.39370078740157483" right="0.39370078740157483" top="0.39370078740157483" bottom="0.39370078740157483" header="0.51181102362204722" footer="0.51181102362204722"/>
  <pageSetup paperSize="9"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Line="0" autoPict="0">
                <anchor moveWithCells="1" sizeWithCells="1">
                  <from>
                    <xdr:col>18</xdr:col>
                    <xdr:colOff>57150</xdr:colOff>
                    <xdr:row>7</xdr:row>
                    <xdr:rowOff>95250</xdr:rowOff>
                  </from>
                  <to>
                    <xdr:col>19</xdr:col>
                    <xdr:colOff>409575</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66"/>
  <sheetViews>
    <sheetView showGridLines="0" showZeros="0" zoomScale="110" workbookViewId="0">
      <pane ySplit="1" topLeftCell="A2" activePane="bottomLeft" state="frozen"/>
      <selection pane="bottomLeft" activeCell="U29" sqref="U29"/>
    </sheetView>
  </sheetViews>
  <sheetFormatPr defaultColWidth="5.140625" defaultRowHeight="11.25" x14ac:dyDescent="0.2"/>
  <cols>
    <col min="1" max="1" width="2.42578125" style="114" bestFit="1" customWidth="1"/>
    <col min="2" max="2" width="2.28515625" style="114" hidden="1" customWidth="1"/>
    <col min="3" max="3" width="5.85546875" style="117" hidden="1" customWidth="1"/>
    <col min="4" max="4" width="5.28515625" style="118" hidden="1" customWidth="1"/>
    <col min="5" max="5" width="4.5703125" style="118" hidden="1" customWidth="1"/>
    <col min="6" max="6" width="3.42578125" style="117" bestFit="1" customWidth="1"/>
    <col min="7" max="7" width="6.5703125" style="232" customWidth="1"/>
    <col min="8" max="8" width="27.5703125" style="114" customWidth="1"/>
    <col min="9" max="9" width="12.85546875" style="114" hidden="1" customWidth="1"/>
    <col min="10" max="10" width="9.140625" style="114" customWidth="1"/>
    <col min="11" max="11" width="1.42578125" style="195" bestFit="1" customWidth="1"/>
    <col min="12" max="12" width="14.140625" style="114" customWidth="1"/>
    <col min="13" max="13" width="1.42578125" style="147" bestFit="1" customWidth="1"/>
    <col min="14" max="14" width="14.140625" style="114" customWidth="1"/>
    <col min="15" max="15" width="1.42578125" style="147" bestFit="1" customWidth="1"/>
    <col min="16" max="16" width="14.140625" style="198" customWidth="1"/>
    <col min="17" max="17" width="1.42578125" style="145" bestFit="1" customWidth="1"/>
    <col min="18" max="18" width="12.85546875" style="198" bestFit="1" customWidth="1"/>
    <col min="19" max="19" width="5.140625" style="198" customWidth="1"/>
    <col min="20" max="16384" width="5.140625" style="114"/>
  </cols>
  <sheetData>
    <row r="1" spans="1:19" s="110" customFormat="1" ht="16.5" x14ac:dyDescent="0.2">
      <c r="A1" s="306" t="str">
        <f>[5]Setup!B3 &amp; ", " &amp; [5]Setup!B4 &amp; ", " &amp; [5]Setup!B6 &amp; ", " &amp; [5]Setup!B8 &amp; "-" &amp; [5]Setup!B9</f>
        <v>Η΄ΕΝΩΣΗ, OPEN MASTERS, Ο.Α.ΑΘΗΝΩΝ, 13-22 Νοε</v>
      </c>
      <c r="B1" s="306"/>
      <c r="C1" s="306"/>
      <c r="D1" s="306"/>
      <c r="E1" s="306"/>
      <c r="F1" s="306"/>
      <c r="G1" s="306"/>
      <c r="H1" s="306"/>
      <c r="I1" s="306"/>
      <c r="J1" s="306"/>
      <c r="K1" s="306"/>
      <c r="L1" s="306"/>
      <c r="M1" s="306"/>
      <c r="N1" s="306"/>
      <c r="O1" s="107"/>
      <c r="P1" s="300" t="str">
        <f>[5]Setup!B7</f>
        <v>dw</v>
      </c>
      <c r="Q1" s="297"/>
      <c r="S1" s="223"/>
    </row>
    <row r="2" spans="1:19" s="231" customFormat="1" ht="8.25" x14ac:dyDescent="0.2">
      <c r="A2" s="224"/>
      <c r="B2" s="129">
        <f>[5]Setup!$B$18</f>
        <v>6</v>
      </c>
      <c r="C2" s="129"/>
      <c r="D2" s="225"/>
      <c r="E2" s="225"/>
      <c r="F2" s="226"/>
      <c r="G2" s="226"/>
      <c r="H2" s="227"/>
      <c r="I2" s="227"/>
      <c r="J2" s="227"/>
      <c r="K2" s="129"/>
      <c r="L2" s="227"/>
      <c r="M2" s="225"/>
      <c r="N2" s="227"/>
      <c r="O2" s="225"/>
      <c r="P2" s="228"/>
      <c r="Q2" s="229"/>
      <c r="R2" s="228"/>
      <c r="S2" s="230"/>
    </row>
    <row r="3" spans="1:19" x14ac:dyDescent="0.2">
      <c r="H3" s="307">
        <v>16</v>
      </c>
      <c r="I3" s="307"/>
      <c r="J3" s="307"/>
      <c r="K3" s="120"/>
      <c r="L3" s="121">
        <v>8</v>
      </c>
      <c r="M3" s="122"/>
      <c r="N3" s="121">
        <v>4</v>
      </c>
      <c r="O3" s="122"/>
      <c r="P3" s="123" t="s">
        <v>19</v>
      </c>
      <c r="Q3" s="124"/>
      <c r="R3" s="131"/>
    </row>
    <row r="4" spans="1:19" s="117" customFormat="1" x14ac:dyDescent="0.2">
      <c r="A4" s="125" t="s">
        <v>0</v>
      </c>
      <c r="B4" s="126"/>
      <c r="C4" s="127" t="s">
        <v>1</v>
      </c>
      <c r="D4" s="127" t="s">
        <v>2</v>
      </c>
      <c r="E4" s="127" t="s">
        <v>3</v>
      </c>
      <c r="F4" s="125" t="s">
        <v>5</v>
      </c>
      <c r="G4" s="125" t="s">
        <v>7</v>
      </c>
      <c r="H4" s="128" t="s">
        <v>8</v>
      </c>
      <c r="I4" s="298" t="s">
        <v>9</v>
      </c>
      <c r="J4" s="128"/>
      <c r="K4" s="129"/>
      <c r="M4" s="130"/>
      <c r="O4" s="130"/>
      <c r="P4" s="131"/>
      <c r="Q4" s="112"/>
      <c r="R4" s="131"/>
      <c r="S4" s="131"/>
    </row>
    <row r="5" spans="1:19" x14ac:dyDescent="0.2">
      <c r="A5" s="309">
        <v>1</v>
      </c>
      <c r="B5" s="233">
        <v>1</v>
      </c>
      <c r="C5" s="234"/>
      <c r="D5" s="235"/>
      <c r="E5" s="236">
        <v>0</v>
      </c>
      <c r="F5" s="321">
        <f>VLOOKUP($B5,[5]Setup!$G$12:$H$27,2,FALSE)</f>
        <v>1</v>
      </c>
      <c r="G5" s="140">
        <f>IF([5]Setup!$B$24="#",0,IF(F5&gt;0,VLOOKUP(F5,[5]DrawPrep!$A$3:$I$18,3,FALSE),0))</f>
        <v>1</v>
      </c>
      <c r="H5" s="237" t="str">
        <f>IF(G5&gt;0,VLOOKUP(G5,[5]DrawPrep!$C$3:$I$18,2,FALSE),"bye")</f>
        <v>ΣΤΕΦΑΝΟΥ ΑΓΝΗ</v>
      </c>
      <c r="I5" s="238" t="str">
        <f>IF(G5&gt;0,LEFT(H5,FIND(" ",H5)-1),"")</f>
        <v>ΣΤΕΦΑΝΟΥ</v>
      </c>
      <c r="J5" s="142">
        <f>IF($G5&gt;0,VLOOKUP($G5,[5]DrawPrep!$C$3:$G$18,3,FALSE),"")</f>
        <v>0</v>
      </c>
      <c r="K5" s="114"/>
      <c r="L5" s="217" t="str">
        <f>UPPER(IF($A$2="R",IF(OR(K6=1,K6="a"),G5,IF(OR(K6=2,K6="b"),G7,"")),IF(OR(K6=1,K6="1"),I5,IF(OR(K6=2,K6="b"),I7,""))))</f>
        <v>ΣΤΕΦΑΝΟΥ</v>
      </c>
      <c r="M5" s="145"/>
      <c r="N5" s="146"/>
      <c r="P5" s="146"/>
      <c r="R5" s="146"/>
    </row>
    <row r="6" spans="1:19" x14ac:dyDescent="0.2">
      <c r="A6" s="310"/>
      <c r="B6" s="240"/>
      <c r="C6" s="241"/>
      <c r="D6" s="242"/>
      <c r="E6" s="243"/>
      <c r="F6" s="322"/>
      <c r="G6" s="244">
        <f>IF([5]Setup!$B$24="#",0,IF(F5&gt;0,VLOOKUP(F5,[5]DrawPrep!$A$3:$I$18,7,FALSE),0))</f>
        <v>11</v>
      </c>
      <c r="H6" s="245" t="str">
        <f>IF(G6&gt;0,VLOOKUP(G6,[5]DrawPrep!$G$3:$I$18,2,FALSE)," ")</f>
        <v>ΧΡΙΣΤΟΦΗ ΕΛΕΝΑ</v>
      </c>
      <c r="I6" s="246" t="str">
        <f>IF(G6&gt;0,LEFT(H6,FIND(" ",H6)-1),"")</f>
        <v>ΧΡΙΣΤΟΦΗ</v>
      </c>
      <c r="J6" s="284">
        <f>IF($G6&gt;0,VLOOKUP($G6,[5]DrawPrep!$G$3:$I$18,3,FALSE),"")</f>
        <v>0</v>
      </c>
      <c r="K6" s="172">
        <v>1</v>
      </c>
      <c r="L6" s="217" t="str">
        <f>UPPER(IF($A$2="R",IF(OR(K6=1,K6="a"),G6,IF(OR(K6=2,K6="b"),G8,"")),IF(OR(K6=1,K6="1"),I6,IF(OR(K6=2,K6="b"),I8,""))))</f>
        <v>ΧΡΙΣΤΟΦΗ</v>
      </c>
      <c r="M6" s="145"/>
      <c r="N6" s="146"/>
      <c r="P6" s="146"/>
      <c r="R6" s="146"/>
    </row>
    <row r="7" spans="1:19" x14ac:dyDescent="0.2">
      <c r="A7" s="309">
        <v>2</v>
      </c>
      <c r="B7" s="248">
        <f>1-D7+4</f>
        <v>4</v>
      </c>
      <c r="C7" s="249">
        <v>1</v>
      </c>
      <c r="D7" s="250">
        <f>E7</f>
        <v>1</v>
      </c>
      <c r="E7" s="251">
        <f>IF($B$2&gt;=C7,1,0)</f>
        <v>1</v>
      </c>
      <c r="F7" s="311" t="str">
        <f>IF($B$2&gt;=C7,"-",VLOOKUP($B7,[5]Setup!$G$12:$H$27,2,FALSE))</f>
        <v>-</v>
      </c>
      <c r="G7" s="139">
        <f>IF([5]Setup!$B$24="#",0,IF(NOT(F7="-"),VLOOKUP(F7,[5]DrawPrep!$A$3:$I$18,3,FALSE),0))</f>
        <v>0</v>
      </c>
      <c r="H7" s="252" t="str">
        <f>IF(G7&gt;0,VLOOKUP(G7,[5]DrawPrep!$C$3:$G$18,2,FALSE),"bye")</f>
        <v>bye</v>
      </c>
      <c r="I7" s="238" t="str">
        <f t="shared" ref="I7:I36" si="0">IF(G7&gt;0,LEFT(H7,FIND(" ",H7)-1),"")</f>
        <v/>
      </c>
      <c r="J7" s="253" t="str">
        <f>IF($G7&gt;0,VLOOKUP($G7,[5]DrawPrep!$C$3:$G$18,3,FALSE),"")</f>
        <v/>
      </c>
      <c r="K7" s="129"/>
      <c r="L7" s="158"/>
      <c r="M7" s="114"/>
      <c r="N7" s="217" t="str">
        <f>UPPER(IF($A$2="R",IF(OR(M8=1,M8="a"),L5,IF(OR(M8=2,M7="b"),L9,"")),IF(OR(M8=1,M8="a"),L5,IF(OR(M8=2,M8="b"),L9,""))))</f>
        <v/>
      </c>
      <c r="O7" s="145"/>
      <c r="P7" s="146"/>
      <c r="R7" s="146"/>
    </row>
    <row r="8" spans="1:19" x14ac:dyDescent="0.2">
      <c r="A8" s="310"/>
      <c r="B8" s="254"/>
      <c r="C8" s="255"/>
      <c r="D8" s="256"/>
      <c r="E8" s="257"/>
      <c r="F8" s="312"/>
      <c r="G8" s="154">
        <f>IF([5]Setup!$B$24="#",0,IF(NOT(F7="-"),VLOOKUP(F7,[5]DrawPrep!$A$3:$I$18,7,FALSE),0))</f>
        <v>0</v>
      </c>
      <c r="H8" s="144" t="str">
        <f>IF(G8&gt;0,VLOOKUP(G8,[5]DrawPrep!$G$3:$I$18,2,FALSE)," ")</f>
        <v xml:space="preserve"> </v>
      </c>
      <c r="I8" s="246" t="str">
        <f t="shared" si="0"/>
        <v/>
      </c>
      <c r="J8" s="156" t="str">
        <f>IF($G8&gt;0,VLOOKUP($G8,[5]DrawPrep!$G$3:$I$18,3,FALSE),"")</f>
        <v/>
      </c>
      <c r="K8" s="129"/>
      <c r="L8" s="171"/>
      <c r="M8" s="143"/>
      <c r="N8" s="217" t="str">
        <f>UPPER(IF($A$2="R",IF(OR(M8=1,M8="a"),L6,IF(OR(M8=2,M8="b"),L10,"")),IF(OR(M8=1,M8="a"),L6,IF(OR(M8=2,M8="b"),L10,""))))</f>
        <v/>
      </c>
      <c r="O8" s="145"/>
      <c r="P8" s="146"/>
      <c r="R8" s="146"/>
    </row>
    <row r="9" spans="1:19" x14ac:dyDescent="0.2">
      <c r="A9" s="313">
        <v>3</v>
      </c>
      <c r="B9" s="258">
        <f>2-D9+4</f>
        <v>5</v>
      </c>
      <c r="C9" s="259"/>
      <c r="D9" s="260">
        <f>D7+E9</f>
        <v>1</v>
      </c>
      <c r="E9" s="260">
        <v>0</v>
      </c>
      <c r="F9" s="315"/>
      <c r="G9" s="261">
        <f>IF([5]Setup!$B$24="#",0,IF(F9&gt;0,VLOOKUP(F9,[5]DrawPrep!$A$3:$I$18,3,FALSE),0))</f>
        <v>0</v>
      </c>
      <c r="H9" s="262" t="str">
        <f>IF(G9&gt;0,VLOOKUP(G9,[5]DrawPrep!$C$3:$G$18,2,FALSE),"bye")</f>
        <v>bye</v>
      </c>
      <c r="I9" s="263" t="str">
        <f t="shared" si="0"/>
        <v/>
      </c>
      <c r="J9" s="264" t="str">
        <f>IF($G9&gt;0,VLOOKUP($G9,[5]DrawPrep!$C$3:$G$18,3,FALSE),"")</f>
        <v/>
      </c>
      <c r="K9" s="114"/>
      <c r="L9" s="217" t="str">
        <f>UPPER(IF($A$2="R",IF(OR(K10=1,K10="a"),G9,IF(OR(K10=2,K10="b"),G11,"")),IF(OR(K10=1,K10="1"),I9,IF(OR(K10=2,K10="b"),I11,""))))</f>
        <v>ΖΕΡΒΑ</v>
      </c>
      <c r="M9" s="191"/>
      <c r="N9" s="158"/>
      <c r="O9" s="145"/>
      <c r="P9" s="146"/>
      <c r="R9" s="146"/>
    </row>
    <row r="10" spans="1:19" x14ac:dyDescent="0.2">
      <c r="A10" s="314"/>
      <c r="B10" s="265"/>
      <c r="C10" s="266"/>
      <c r="D10" s="267"/>
      <c r="E10" s="267"/>
      <c r="F10" s="316"/>
      <c r="G10" s="268">
        <f>IF([5]Setup!$B$24="#",0,IF(F9&gt;0,VLOOKUP(F9,[5]DrawPrep!$A$3:$I$18,7,FALSE),0))</f>
        <v>0</v>
      </c>
      <c r="H10" s="269" t="str">
        <f>IF(G10&gt;0,VLOOKUP(G10,[5]DrawPrep!$G$3:$I$18,2,FALSE)," ")</f>
        <v xml:space="preserve"> </v>
      </c>
      <c r="I10" s="270" t="str">
        <f t="shared" si="0"/>
        <v/>
      </c>
      <c r="J10" s="271" t="str">
        <f>IF($G10&gt;0,VLOOKUP($G10,[5]DrawPrep!$G$3:$I$18,3,FALSE),"")</f>
        <v/>
      </c>
      <c r="K10" s="172">
        <v>2</v>
      </c>
      <c r="L10" s="217" t="str">
        <f>UPPER(IF($A$2="R",IF(OR(K10=1,K10="a"),G10,IF(OR(K10=2,K10="b"),G12,"")),IF(OR(K10=1,K10="1"),I10,IF(OR(K10=2,K10="b"),I12,""))))</f>
        <v>ΠΑΡΑΒΑΛΟΥ</v>
      </c>
      <c r="M10" s="191"/>
      <c r="N10" s="171"/>
      <c r="O10" s="145"/>
      <c r="P10" s="146"/>
      <c r="R10" s="146"/>
    </row>
    <row r="11" spans="1:19" x14ac:dyDescent="0.2">
      <c r="A11" s="313">
        <v>4</v>
      </c>
      <c r="B11" s="258">
        <f>3-D11+4</f>
        <v>6</v>
      </c>
      <c r="C11" s="259">
        <v>7</v>
      </c>
      <c r="D11" s="260">
        <f>D9+E11</f>
        <v>1</v>
      </c>
      <c r="E11" s="260">
        <f>IF($B$2&gt;=C11,1,0)</f>
        <v>0</v>
      </c>
      <c r="F11" s="315">
        <v>10</v>
      </c>
      <c r="G11" s="261">
        <f>IF([5]Setup!$B$24="#",0,IF(NOT(F11="-"),VLOOKUP(F11,[5]DrawPrep!$A$3:$I$18,3,FALSE),0))</f>
        <v>10</v>
      </c>
      <c r="H11" s="262" t="str">
        <f>IF(G11&gt;0,VLOOKUP(G11,[5]DrawPrep!$C$3:$G$18,2,FALSE),"bye")</f>
        <v>ΖΕΡΒΑ ΑΓΓΕΛΙΚΗ</v>
      </c>
      <c r="I11" s="263" t="str">
        <f t="shared" si="0"/>
        <v>ΖΕΡΒΑ</v>
      </c>
      <c r="J11" s="264">
        <f>IF($G11&gt;0,VLOOKUP($G11,[5]DrawPrep!$C$3:$G$18,3,FALSE),"")</f>
        <v>0</v>
      </c>
      <c r="K11" s="129"/>
      <c r="L11" s="178"/>
      <c r="M11" s="145"/>
      <c r="N11" s="171"/>
      <c r="O11" s="114"/>
      <c r="P11" s="217" t="str">
        <f>UPPER(IF($A$2="R",IF(OR(O12=1,O12="a"),N7,IF(OR(O12=2,O12="b"),N15,"")),IF(OR(O12=1,O12="a"),N7,IF(OR(O12=2,O12="b"),N15,""))))</f>
        <v/>
      </c>
      <c r="R11" s="146"/>
    </row>
    <row r="12" spans="1:19" x14ac:dyDescent="0.2">
      <c r="A12" s="314"/>
      <c r="B12" s="265"/>
      <c r="C12" s="266"/>
      <c r="D12" s="267"/>
      <c r="E12" s="267"/>
      <c r="F12" s="316"/>
      <c r="G12" s="268">
        <f>IF([5]Setup!$B$24="#",0,IF(NOT(F11="-"),VLOOKUP(F11,[5]DrawPrep!$A$3:$I$18,7,FALSE),0))</f>
        <v>20</v>
      </c>
      <c r="H12" s="269" t="str">
        <f>IF(G12&gt;0,VLOOKUP(G12,[5]DrawPrep!$G$3:$I$18,2,FALSE)," ")</f>
        <v>ΠΑΡΑΒΑΛΟΥ ΣΟΦΙΑ</v>
      </c>
      <c r="I12" s="270" t="str">
        <f t="shared" si="0"/>
        <v>ΠΑΡΑΒΑΛΟΥ</v>
      </c>
      <c r="J12" s="271">
        <f>IF($G12&gt;0,VLOOKUP($G12,[5]DrawPrep!$G$3:$I$18,3,FALSE),"")</f>
        <v>0</v>
      </c>
      <c r="K12" s="129"/>
      <c r="L12" s="118"/>
      <c r="M12" s="145"/>
      <c r="N12" s="171"/>
      <c r="O12" s="172"/>
      <c r="P12" s="217" t="str">
        <f>UPPER(IF($A$2="R",IF(OR(O12=1,O12="a"),N8,IF(OR(O12=2,O12="b"),N16,"")),IF(OR(O12=1,O12="a"),N8,IF(OR(O12=2,O12="b"),N16,""))))</f>
        <v/>
      </c>
      <c r="R12" s="146"/>
    </row>
    <row r="13" spans="1:19" x14ac:dyDescent="0.2">
      <c r="A13" s="309">
        <v>5</v>
      </c>
      <c r="B13" s="248">
        <f>4-D13+4</f>
        <v>7</v>
      </c>
      <c r="C13" s="272"/>
      <c r="D13" s="250">
        <f>D11+E13</f>
        <v>1</v>
      </c>
      <c r="E13" s="273">
        <v>0</v>
      </c>
      <c r="F13" s="311">
        <v>7</v>
      </c>
      <c r="G13" s="139">
        <f>IF([5]Setup!$B$24="#",0,IF(F13&gt;0,VLOOKUP(F13,[5]DrawPrep!$A$3:$I$18,3,FALSE),0))</f>
        <v>7</v>
      </c>
      <c r="H13" s="252" t="str">
        <f>IF(G13&gt;0,VLOOKUP(G13,[5]DrawPrep!$C$3:$G$18,2,FALSE),"bye")</f>
        <v>ΜΑΡΓΑΡΙΤΗ ΣΥΛΒΙΑ</v>
      </c>
      <c r="I13" s="238" t="str">
        <f t="shared" si="0"/>
        <v>ΜΑΡΓΑΡΙΤΗ</v>
      </c>
      <c r="J13" s="253">
        <f>IF($G13&gt;0,VLOOKUP($G13,[5]DrawPrep!$C$3:$G$18,3,FALSE),"")</f>
        <v>0</v>
      </c>
      <c r="K13" s="114"/>
      <c r="L13" s="217" t="str">
        <f>UPPER(IF($A$2="R",IF(OR(K14=1,K14="a"),G13,IF(OR(K14=2,K14="b"),G15,"")),IF(OR(K14=1,K14="1"),I13,IF(OR(K14=2,K14="b"),I15,""))))</f>
        <v/>
      </c>
      <c r="M13" s="145"/>
      <c r="N13" s="171"/>
      <c r="O13" s="129"/>
      <c r="P13" s="158"/>
      <c r="R13" s="146"/>
    </row>
    <row r="14" spans="1:19" x14ac:dyDescent="0.2">
      <c r="A14" s="310"/>
      <c r="B14" s="254"/>
      <c r="C14" s="274"/>
      <c r="D14" s="256"/>
      <c r="E14" s="275"/>
      <c r="F14" s="312"/>
      <c r="G14" s="154">
        <f>IF([5]Setup!$B$24="#",0,IF(F13&gt;0,VLOOKUP(F13,[5]DrawPrep!$A$3:$I$18,7,FALSE),0))</f>
        <v>17</v>
      </c>
      <c r="H14" s="144" t="str">
        <f>IF(G14&gt;0,VLOOKUP(G14,[5]DrawPrep!$G$3:$I$18,2,FALSE)," ")</f>
        <v>ΠΑΠΑΔΗΜΗΤΡΙΟΥ ΕΥΑ</v>
      </c>
      <c r="I14" s="246" t="str">
        <f t="shared" si="0"/>
        <v>ΠΑΠΑΔΗΜΗΤΡΙΟΥ</v>
      </c>
      <c r="J14" s="156">
        <f>IF($G14&gt;0,VLOOKUP($G14,[5]DrawPrep!$G$3:$I$18,3,FALSE),"")</f>
        <v>0</v>
      </c>
      <c r="K14" s="224"/>
      <c r="L14" s="217" t="str">
        <f>UPPER(IF($A$2="R",IF(OR(K14=1,K14="a"),G14,IF(OR(K14=2,K14="b"),G16,"")),IF(OR(K14=1,K14="1"),I14,IF(OR(K14=2,K14="b"),I16,""))))</f>
        <v/>
      </c>
      <c r="M14" s="145"/>
      <c r="N14" s="171"/>
      <c r="O14" s="145"/>
      <c r="P14" s="171"/>
      <c r="R14" s="146"/>
    </row>
    <row r="15" spans="1:19" x14ac:dyDescent="0.2">
      <c r="A15" s="309">
        <v>6</v>
      </c>
      <c r="B15" s="248">
        <f>5-D15+4</f>
        <v>7</v>
      </c>
      <c r="C15" s="249">
        <v>5</v>
      </c>
      <c r="D15" s="250">
        <f>D13+E15</f>
        <v>2</v>
      </c>
      <c r="E15" s="251">
        <f>IF($B$2&gt;=C15,1,0)</f>
        <v>1</v>
      </c>
      <c r="F15" s="311">
        <v>9</v>
      </c>
      <c r="G15" s="139">
        <f>IF([5]Setup!$B$24="#",0,IF(NOT(F15="-"),VLOOKUP(F15,[5]DrawPrep!$A$3:$I$18,3,FALSE),0))</f>
        <v>9</v>
      </c>
      <c r="H15" s="252" t="str">
        <f>IF(G15&gt;0,VLOOKUP(G15,[5]DrawPrep!$C$3:$G$18,2,FALSE),"bye")</f>
        <v>ΑΔΑΜΟΠΟΥΛΟΥ ΜΑΡΙΑ</v>
      </c>
      <c r="I15" s="238" t="str">
        <f t="shared" si="0"/>
        <v>ΑΔΑΜΟΠΟΥΛΟΥ</v>
      </c>
      <c r="J15" s="253">
        <f>IF($G15&gt;0,VLOOKUP($G15,[5]DrawPrep!$C$3:$G$18,3,FALSE),"")</f>
        <v>0</v>
      </c>
      <c r="K15" s="157"/>
      <c r="L15" s="158"/>
      <c r="M15" s="114"/>
      <c r="N15" s="217" t="str">
        <f>UPPER(IF($A$2="R",IF(OR(M16=1,M16="a"),L13,IF(OR(M16=2,M15="b"),L17,"")),IF(OR(M16=1,M16="a"),L13,IF(OR(M16=2,M16="b"),L17,""))))</f>
        <v/>
      </c>
      <c r="O15" s="176"/>
      <c r="P15" s="171"/>
      <c r="R15" s="146"/>
    </row>
    <row r="16" spans="1:19" x14ac:dyDescent="0.2">
      <c r="A16" s="310"/>
      <c r="B16" s="254"/>
      <c r="C16" s="255"/>
      <c r="D16" s="256"/>
      <c r="E16" s="257"/>
      <c r="F16" s="312"/>
      <c r="G16" s="154">
        <f>IF([5]Setup!$B$24="#",0,IF(NOT(F15="-"),VLOOKUP(F15,[5]DrawPrep!$A$3:$I$18,7,FALSE),0))</f>
        <v>19</v>
      </c>
      <c r="H16" s="144" t="str">
        <f>IF(G16&gt;0,VLOOKUP(G16,[5]DrawPrep!$G$3:$I$18,2,FALSE)," ")</f>
        <v>ΠΡΕΚΟΥΠ ΓΚΑΜΠΡΙΕΛΑ</v>
      </c>
      <c r="I16" s="246" t="str">
        <f t="shared" si="0"/>
        <v>ΠΡΕΚΟΥΠ</v>
      </c>
      <c r="J16" s="156">
        <f>IF($G16&gt;0,VLOOKUP($G16,[5]DrawPrep!$G$3:$I$18,3,FALSE),"")</f>
        <v>0</v>
      </c>
      <c r="K16" s="129"/>
      <c r="L16" s="171"/>
      <c r="M16" s="172"/>
      <c r="N16" s="217" t="str">
        <f>UPPER(IF($A$2="R",IF(OR(M16=1,M16="a"),L14,IF(OR(M16=2,M16="b"),L18,"")),IF(OR(M16=1,M16="a"),L14,IF(OR(M16=2,M16="b"),L18,""))))</f>
        <v/>
      </c>
      <c r="O16" s="176"/>
      <c r="P16" s="171"/>
      <c r="R16" s="146"/>
    </row>
    <row r="17" spans="1:18" x14ac:dyDescent="0.2">
      <c r="A17" s="313">
        <v>7</v>
      </c>
      <c r="B17" s="258">
        <f>6-D17+4</f>
        <v>7</v>
      </c>
      <c r="C17" s="258">
        <f>VALUE([5]Setup!E2)</f>
        <v>3</v>
      </c>
      <c r="D17" s="260">
        <f>D15+E17</f>
        <v>3</v>
      </c>
      <c r="E17" s="260">
        <f>IF($B$2&gt;=C17,1,0)</f>
        <v>1</v>
      </c>
      <c r="F17" s="315" t="str">
        <f>IF($B$2&gt;=C17,"-",VLOOKUP($B17,[5]Setup!$G$12:$H$27,2,FALSE))</f>
        <v>-</v>
      </c>
      <c r="G17" s="261">
        <f>IF([5]Setup!$B$24="#",0,IF(NOT(F17="-"),VLOOKUP(F17,[5]DrawPrep!$A$3:$I$18,3,FALSE),0))</f>
        <v>0</v>
      </c>
      <c r="H17" s="262" t="str">
        <f>IF(G17&gt;0,VLOOKUP(G17,[5]DrawPrep!$C$3:$G$18,2,FALSE),"bye")</f>
        <v>bye</v>
      </c>
      <c r="I17" s="263" t="str">
        <f t="shared" si="0"/>
        <v/>
      </c>
      <c r="J17" s="264" t="str">
        <f>IF($G17&gt;0,VLOOKUP($G17,[5]DrawPrep!$C$3:$G$18,3,FALSE),"")</f>
        <v/>
      </c>
      <c r="K17" s="114"/>
      <c r="L17" s="217" t="str">
        <f>UPPER(IF($A$2="R",IF(OR(K18=1,K18="a"),G17,IF(OR(K18=2,K18="b"),G19,"")),IF(OR(K18=1,K18="1"),I17,IF(OR(K18=2,K18="b"),I19,""))))</f>
        <v>ΛΑΘΟΥΡΗ</v>
      </c>
      <c r="M17" s="191"/>
      <c r="N17" s="178"/>
      <c r="O17" s="145"/>
      <c r="P17" s="171"/>
      <c r="R17" s="146"/>
    </row>
    <row r="18" spans="1:18" x14ac:dyDescent="0.2">
      <c r="A18" s="314"/>
      <c r="B18" s="265"/>
      <c r="C18" s="266"/>
      <c r="D18" s="267"/>
      <c r="E18" s="267"/>
      <c r="F18" s="316"/>
      <c r="G18" s="268">
        <f>IF(NOT(F17="-"),VLOOKUP(F17,[5]DrawPrep!$A$3:$I$18,7,FALSE),0)</f>
        <v>0</v>
      </c>
      <c r="H18" s="269" t="str">
        <f>IF(G18&gt;0,VLOOKUP(G18,[5]DrawPrep!$G$3:$I$18,2,FALSE)," ")</f>
        <v xml:space="preserve"> </v>
      </c>
      <c r="I18" s="270" t="str">
        <f t="shared" si="0"/>
        <v/>
      </c>
      <c r="J18" s="271" t="str">
        <f>IF($G18&gt;0,VLOOKUP($G18,[5]DrawPrep!$G$3:$I$18,3,FALSE),"")</f>
        <v/>
      </c>
      <c r="K18" s="172">
        <v>2</v>
      </c>
      <c r="L18" s="156" t="str">
        <f>UPPER(IF($A$2="R",IF(OR(K18=1,K18="a"),G18,IF(OR(K18=2,K18="b"),G20,"")),IF(OR(K18=1,K18="1"),I18,IF(OR(K18=2,K18="b"),I20,""))))</f>
        <v>ΑΓΓΕΛΑΤΟΥ</v>
      </c>
      <c r="M18" s="129"/>
      <c r="N18" s="146"/>
      <c r="O18" s="145"/>
      <c r="P18" s="171"/>
      <c r="R18" s="146"/>
    </row>
    <row r="19" spans="1:18" x14ac:dyDescent="0.2">
      <c r="A19" s="313">
        <v>8</v>
      </c>
      <c r="B19" s="258">
        <f>VALUE([5]Setup!E2)</f>
        <v>3</v>
      </c>
      <c r="C19" s="259"/>
      <c r="D19" s="260">
        <f>D17+E19</f>
        <v>3</v>
      </c>
      <c r="E19" s="260">
        <v>0</v>
      </c>
      <c r="F19" s="319">
        <f>VLOOKUP($B19,[5]Setup!$G$12:$H$27,2,FALSE)</f>
        <v>3</v>
      </c>
      <c r="G19" s="276">
        <f>IF([5]Setup!$B$24="#",0,IF(F19&gt;0,VLOOKUP(F19,[5]DrawPrep!$A$3:$I$18,3,FALSE),0))</f>
        <v>3</v>
      </c>
      <c r="H19" s="277" t="str">
        <f>IF(G19&gt;0,VLOOKUP(G19,[5]DrawPrep!$C$3:$G$18,2,FALSE),"bye")</f>
        <v>ΛΑΘΟΥΡΗ ΙΩΑΝΝΑ</v>
      </c>
      <c r="I19" s="263" t="str">
        <f t="shared" si="0"/>
        <v>ΛΑΘΟΥΡΗ</v>
      </c>
      <c r="J19" s="278">
        <f>IF($G19&gt;0,VLOOKUP($G19,[5]DrawPrep!$C$3:$G$18,3,FALSE),"")</f>
        <v>0</v>
      </c>
      <c r="K19" s="129"/>
      <c r="L19" s="146"/>
      <c r="N19" s="146"/>
      <c r="O19" s="129"/>
      <c r="P19" s="286" t="str">
        <f>UPPER(IF($A$2="R",IF(OR(O20=1,O20="a"),P11,IF(OR(O20=2,O20="b"),P27,"")),IF(OR(O20=1,O20="a"),P11,IF(OR(O20=2,O20="b"),P27,""))))</f>
        <v/>
      </c>
    </row>
    <row r="20" spans="1:18" x14ac:dyDescent="0.2">
      <c r="A20" s="314"/>
      <c r="B20" s="265"/>
      <c r="C20" s="266"/>
      <c r="D20" s="267"/>
      <c r="E20" s="267"/>
      <c r="F20" s="320"/>
      <c r="G20" s="279">
        <f>IF([5]Setup!$B$24="#",0,IF(F19&gt;0,VLOOKUP(F19,[5]DrawPrep!$A$3:$I$18,7,FALSE),0))</f>
        <v>13</v>
      </c>
      <c r="H20" s="280" t="str">
        <f>IF(G20&gt;0,VLOOKUP(G20,[5]DrawPrep!$G$3:$I$18,2,FALSE)," ")</f>
        <v>ΑΓΓΕΛΑΤΟΥ ΑΝΑΣΤΑΣΙΑ</v>
      </c>
      <c r="I20" s="270" t="str">
        <f t="shared" si="0"/>
        <v>ΑΓΓΕΛΑΤΟΥ</v>
      </c>
      <c r="J20" s="281">
        <f>IF($G20&gt;0,VLOOKUP($G20,[5]DrawPrep!$G$3:$I$18,3,FALSE),"")</f>
        <v>0</v>
      </c>
      <c r="K20" s="129"/>
      <c r="L20" s="146"/>
      <c r="N20" s="146"/>
      <c r="O20" s="172"/>
      <c r="P20" s="286" t="str">
        <f>UPPER(IF($A$2="R",IF(OR(O20=1,O20="a"),P12,IF(OR(O20=2,O20="b"),P28,"")),IF(OR(O20=1,O20="a"),P12,IF(OR(O20=2,O20="b"),P28,""))))</f>
        <v/>
      </c>
    </row>
    <row r="21" spans="1:18" x14ac:dyDescent="0.2">
      <c r="A21" s="309">
        <v>9</v>
      </c>
      <c r="B21" s="282">
        <f>VALUE([5]Setup!E3)</f>
        <v>4</v>
      </c>
      <c r="C21" s="272"/>
      <c r="D21" s="250">
        <f>D19+E21</f>
        <v>3</v>
      </c>
      <c r="E21" s="273">
        <v>0</v>
      </c>
      <c r="F21" s="321">
        <f>VLOOKUP($B21,[5]Setup!$G$12:$H$27,2,FALSE)</f>
        <v>4</v>
      </c>
      <c r="G21" s="140">
        <f>IF([5]Setup!$B$24="#",0,IF(F21&gt;0,VLOOKUP(F21,[5]DrawPrep!$A$3:$I$18,3,FALSE),0))</f>
        <v>4</v>
      </c>
      <c r="H21" s="237" t="str">
        <f>IF(G21&gt;0,VLOOKUP(G21,[5]DrawPrep!$C$3:$G$18,2,FALSE),"bye")</f>
        <v>ΚΑΠΛΑΝΗ ΑΣΗΜΙΝΑ</v>
      </c>
      <c r="I21" s="238" t="str">
        <f t="shared" si="0"/>
        <v>ΚΑΠΛΑΝΗ</v>
      </c>
      <c r="J21" s="142">
        <f>IF($G21&gt;0,VLOOKUP($G21,[5]DrawPrep!$C$3:$G$18,3,FALSE),"")</f>
        <v>0</v>
      </c>
      <c r="K21" s="114"/>
      <c r="L21" s="217" t="str">
        <f>UPPER(IF($A$2="R",IF(OR(K22=1,K22="a"),G21,IF(OR(K22=2,K22="b"),G23,"")),IF(OR(K22=1,K22="1"),I21,IF(OR(K22=2,K22="b"),I23,""))))</f>
        <v>ΚΑΠΛΑΝΗ</v>
      </c>
      <c r="M21" s="145"/>
      <c r="N21" s="146"/>
      <c r="O21" s="145"/>
      <c r="P21" s="293"/>
    </row>
    <row r="22" spans="1:18" x14ac:dyDescent="0.2">
      <c r="A22" s="310"/>
      <c r="B22" s="283"/>
      <c r="C22" s="274"/>
      <c r="D22" s="256"/>
      <c r="E22" s="275"/>
      <c r="F22" s="322"/>
      <c r="G22" s="244">
        <f>IF([5]Setup!$B$24="#",0,IF(F21&gt;0,VLOOKUP(F21,[5]DrawPrep!$A$3:$I$18,7,FALSE),0))</f>
        <v>14</v>
      </c>
      <c r="H22" s="245" t="str">
        <f>IF(G22&gt;0,VLOOKUP(G22,[5]DrawPrep!$G$3:$I$18,2,FALSE)," ")</f>
        <v>ΡΟΥΣΣΗ ΕΥΑ</v>
      </c>
      <c r="I22" s="246" t="str">
        <f t="shared" si="0"/>
        <v>ΡΟΥΣΣΗ</v>
      </c>
      <c r="J22" s="284">
        <f>IF($G22&gt;0,VLOOKUP($G22,[5]DrawPrep!$G$3:$I$18,3,FALSE),"")</f>
        <v>0</v>
      </c>
      <c r="K22" s="172">
        <v>1</v>
      </c>
      <c r="L22" s="217" t="str">
        <f>UPPER(IF($A$2="R",IF(OR(K22=1,K22="a"),G22,IF(OR(K22=2,K22="b"),G24,"")),IF(OR(K22=1,K22="1"),I22,IF(OR(K22=2,K22="b"),I24,""))))</f>
        <v>ΡΟΥΣΣΗ</v>
      </c>
      <c r="M22" s="145"/>
      <c r="N22" s="146"/>
      <c r="P22" s="171"/>
      <c r="R22" s="146"/>
    </row>
    <row r="23" spans="1:18" x14ac:dyDescent="0.2">
      <c r="A23" s="309">
        <v>10</v>
      </c>
      <c r="B23" s="248">
        <f>7-D23+4</f>
        <v>7</v>
      </c>
      <c r="C23" s="282">
        <f>VALUE([5]Setup!E3)</f>
        <v>4</v>
      </c>
      <c r="D23" s="250">
        <f>D21+E23</f>
        <v>4</v>
      </c>
      <c r="E23" s="251">
        <f>IF($B$2&gt;=C23,1,0)</f>
        <v>1</v>
      </c>
      <c r="F23" s="311" t="str">
        <f>IF($B$2&gt;=C23,"-",VLOOKUP($B23,[5]Setup!$G$12:$H$27,2,FALSE))</f>
        <v>-</v>
      </c>
      <c r="G23" s="139">
        <f>IF([5]Setup!$B$24="#",0,IF(NOT(F23="-"),VLOOKUP(F23,[5]DrawPrep!$A$3:$I$18,3,FALSE),0))</f>
        <v>0</v>
      </c>
      <c r="H23" s="252" t="str">
        <f>IF(G23&gt;0,VLOOKUP(G23,[5]DrawPrep!$C$3:$G$18,2,FALSE),"bye")</f>
        <v>bye</v>
      </c>
      <c r="I23" s="238" t="str">
        <f t="shared" si="0"/>
        <v/>
      </c>
      <c r="J23" s="253" t="str">
        <f>IF($G23&gt;0,VLOOKUP($G23,[5]DrawPrep!$C$3:$G$18,3,FALSE),"")</f>
        <v/>
      </c>
      <c r="K23" s="129"/>
      <c r="L23" s="158"/>
      <c r="M23" s="114"/>
      <c r="N23" s="217" t="str">
        <f>UPPER(IF($A$2="R",IF(OR(M24=1,M24="a"),L21,IF(OR(M24=2,M23="b"),L25,"")),IF(OR(M24=1,M24="a"),L21,IF(OR(M24=2,M24="b"),L25,""))))</f>
        <v/>
      </c>
      <c r="O23" s="145"/>
      <c r="P23" s="171"/>
      <c r="R23" s="146"/>
    </row>
    <row r="24" spans="1:18" x14ac:dyDescent="0.2">
      <c r="A24" s="310"/>
      <c r="B24" s="254"/>
      <c r="C24" s="285"/>
      <c r="D24" s="256"/>
      <c r="E24" s="257"/>
      <c r="F24" s="312"/>
      <c r="G24" s="154">
        <f>IF([5]Setup!$B$24="#",0,IF(NOT(F23="-"),VLOOKUP(F23,[5]DrawPrep!$A$3:$I$18,7,FALSE),0))</f>
        <v>0</v>
      </c>
      <c r="H24" s="144" t="str">
        <f>IF(G24&gt;0,VLOOKUP(G24,[5]DrawPrep!$G$3:$I$18,2,FALSE)," ")</f>
        <v xml:space="preserve"> </v>
      </c>
      <c r="I24" s="246" t="str">
        <f t="shared" si="0"/>
        <v/>
      </c>
      <c r="J24" s="156" t="str">
        <f>IF($G24&gt;0,VLOOKUP($G24,[5]DrawPrep!$G$3:$I$18,3,FALSE),"")</f>
        <v/>
      </c>
      <c r="K24" s="129"/>
      <c r="L24" s="171"/>
      <c r="M24" s="143"/>
      <c r="N24" s="217" t="str">
        <f>UPPER(IF($A$2="R",IF(OR(M24=1,M24="a"),L22,IF(OR(M24=2,M24="b"),L26,"")),IF(OR(M24=1,M24="a"),L22,IF(OR(M24=2,M24="b"),L26,""))))</f>
        <v/>
      </c>
      <c r="O24" s="145"/>
      <c r="P24" s="171"/>
      <c r="R24" s="146"/>
    </row>
    <row r="25" spans="1:18" x14ac:dyDescent="0.2">
      <c r="A25" s="313">
        <v>11</v>
      </c>
      <c r="B25" s="258">
        <f>8-D25+4</f>
        <v>8</v>
      </c>
      <c r="C25" s="259"/>
      <c r="D25" s="260">
        <f>D23+E25</f>
        <v>4</v>
      </c>
      <c r="E25" s="260">
        <v>0</v>
      </c>
      <c r="F25" s="315">
        <f>VLOOKUP($B25,[5]Setup!$G$12:$H$27,2,FALSE)</f>
        <v>8</v>
      </c>
      <c r="G25" s="261">
        <f>IF([5]Setup!$B$24="#",0,IF(F25&gt;0,VLOOKUP(F25,[5]DrawPrep!$A$3:$I$18,3,FALSE),0))</f>
        <v>8</v>
      </c>
      <c r="H25" s="262" t="str">
        <f>IF(G25&gt;0,VLOOKUP(G25,[5]DrawPrep!$C$3:$G$18,2,FALSE),"bye")</f>
        <v>ΓΡΙΒΑ ΒΑΡΒΑΡΑ</v>
      </c>
      <c r="I25" s="263" t="str">
        <f t="shared" si="0"/>
        <v>ΓΡΙΒΑ</v>
      </c>
      <c r="J25" s="264">
        <f>IF($G25&gt;0,VLOOKUP($G25,[5]DrawPrep!$C$3:$G$18,3,FALSE),"")</f>
        <v>0</v>
      </c>
      <c r="K25" s="114"/>
      <c r="L25" s="217" t="str">
        <f>UPPER(IF($A$2="R",IF(OR(K26=1,K26="a"),G25,IF(OR(K26=2,K26="b"),G27,"")),IF(OR(K26=1,K26="1"),I25,IF(OR(K26=2,K26="b"),I27,""))))</f>
        <v>ΓΡΙΒΑ</v>
      </c>
      <c r="M25" s="191"/>
      <c r="N25" s="158"/>
      <c r="O25" s="145"/>
      <c r="P25" s="171"/>
      <c r="R25" s="146"/>
    </row>
    <row r="26" spans="1:18" x14ac:dyDescent="0.2">
      <c r="A26" s="314"/>
      <c r="B26" s="265"/>
      <c r="C26" s="266"/>
      <c r="D26" s="267"/>
      <c r="E26" s="267"/>
      <c r="F26" s="316"/>
      <c r="G26" s="268">
        <f>IF([5]Setup!$B$24="#",0,IF(F25&gt;0,VLOOKUP(F25,[5]DrawPrep!$A$3:$I$18,7,FALSE),0))</f>
        <v>18</v>
      </c>
      <c r="H26" s="269" t="str">
        <f>IF(G26&gt;0,VLOOKUP(G26,[5]DrawPrep!$G$3:$I$18,2,FALSE)," ")</f>
        <v>ΑΝΤΩΝΑΚΗ ΕΜΜΑΝΟΥΕΛΑ</v>
      </c>
      <c r="I26" s="270" t="str">
        <f t="shared" si="0"/>
        <v>ΑΝΤΩΝΑΚΗ</v>
      </c>
      <c r="J26" s="271">
        <f>IF($G26&gt;0,VLOOKUP($G26,[5]DrawPrep!$G$3:$I$18,3,FALSE),"")</f>
        <v>0</v>
      </c>
      <c r="K26" s="172">
        <v>1</v>
      </c>
      <c r="L26" s="156" t="str">
        <f>UPPER(IF($A$2="R",IF(OR(K26=1,K26="a"),G26,IF(OR(K26=2,K26="b"),G28,"")),IF(OR(K26=1,K26="1"),I26,IF(OR(K26=2,K26="b"),I28,""))))</f>
        <v>ΑΝΤΩΝΑΚΗ</v>
      </c>
      <c r="M26" s="191"/>
      <c r="N26" s="171"/>
      <c r="O26" s="145"/>
      <c r="P26" s="171"/>
      <c r="R26" s="146"/>
    </row>
    <row r="27" spans="1:18" x14ac:dyDescent="0.2">
      <c r="A27" s="313">
        <v>12</v>
      </c>
      <c r="B27" s="258">
        <f>9-D27+4</f>
        <v>8</v>
      </c>
      <c r="C27" s="259">
        <v>6</v>
      </c>
      <c r="D27" s="260">
        <f>D25+E27</f>
        <v>5</v>
      </c>
      <c r="E27" s="260">
        <f>IF($B$2&gt;=C27,1,0)</f>
        <v>1</v>
      </c>
      <c r="F27" s="315" t="str">
        <f>IF($B$2&gt;=C27,"-",VLOOKUP($B27,[5]Setup!$G$12:$H$27,2,FALSE))</f>
        <v>-</v>
      </c>
      <c r="G27" s="261">
        <f>IF([5]Setup!$B$24="#",0,IF(NOT(F27="-"),VLOOKUP(F27,[5]DrawPrep!$A$3:$I$18,3,FALSE),0))</f>
        <v>0</v>
      </c>
      <c r="H27" s="262" t="str">
        <f>IF(G27&gt;0,VLOOKUP(G27,[5]DrawPrep!$C$3:$G$18,2,FALSE),"bye")</f>
        <v>bye</v>
      </c>
      <c r="I27" s="263" t="str">
        <f t="shared" si="0"/>
        <v/>
      </c>
      <c r="J27" s="264" t="str">
        <f>IF($G27&gt;0,VLOOKUP($G27,[5]DrawPrep!$C$3:$G$18,3,FALSE),"")</f>
        <v/>
      </c>
      <c r="K27" s="129"/>
      <c r="L27" s="146"/>
      <c r="M27" s="145"/>
      <c r="N27" s="171"/>
      <c r="O27" s="114"/>
      <c r="P27" s="188" t="str">
        <f>UPPER(IF($A$2="R",IF(OR(O28=1,O28="a"),N23,IF(OR(O28=2,O28="b"),N31,"")),IF(OR(O28=1,O28="a"),N23,IF(OR(O28=2,O28="b"),N31,""))))</f>
        <v/>
      </c>
      <c r="R27" s="146"/>
    </row>
    <row r="28" spans="1:18" x14ac:dyDescent="0.2">
      <c r="A28" s="314"/>
      <c r="B28" s="265"/>
      <c r="C28" s="266"/>
      <c r="D28" s="267"/>
      <c r="E28" s="267"/>
      <c r="F28" s="316"/>
      <c r="G28" s="268">
        <f>IF([5]Setup!$B$24="#",0,IF(NOT(F27="-"),VLOOKUP(F27,[5]DrawPrep!$A$3:$I$18,7,FALSE),0))</f>
        <v>0</v>
      </c>
      <c r="H28" s="269" t="str">
        <f>IF(G28&gt;0,VLOOKUP(G28,[5]DrawPrep!$G$3:$I$18,2,FALSE)," ")</f>
        <v xml:space="preserve"> </v>
      </c>
      <c r="I28" s="270" t="str">
        <f t="shared" si="0"/>
        <v/>
      </c>
      <c r="J28" s="271" t="str">
        <f>IF($G28&gt;0,VLOOKUP($G28,[5]DrawPrep!$G$3:$I$18,3,FALSE),"")</f>
        <v/>
      </c>
      <c r="K28" s="129"/>
      <c r="L28" s="118"/>
      <c r="M28" s="145"/>
      <c r="N28" s="171"/>
      <c r="O28" s="172"/>
      <c r="P28" s="156" t="str">
        <f>UPPER(IF($A$2="R",IF(OR(O28=1,O28="a"),N24,IF(OR(O28=2,O28="b"),N32,"")),IF(OR(O28=1,O28="a"),N24,IF(OR(O28=2,O28="b"),N32,""))))</f>
        <v/>
      </c>
      <c r="R28" s="146"/>
    </row>
    <row r="29" spans="1:18" x14ac:dyDescent="0.2">
      <c r="A29" s="309">
        <v>13</v>
      </c>
      <c r="B29" s="248">
        <f>10-D29+4</f>
        <v>9</v>
      </c>
      <c r="C29" s="272"/>
      <c r="D29" s="250">
        <f>D27+E29</f>
        <v>5</v>
      </c>
      <c r="E29" s="273">
        <v>0</v>
      </c>
      <c r="F29" s="311">
        <v>6</v>
      </c>
      <c r="G29" s="139">
        <f>IF([5]Setup!$B$24="#",0,IF(F29&gt;0,VLOOKUP(F29,[5]DrawPrep!$A$3:$I$18,3,FALSE),0))</f>
        <v>6</v>
      </c>
      <c r="H29" s="252" t="str">
        <f>IF(G29&gt;0,VLOOKUP(G29,[5]DrawPrep!$C$3:$G$18,2,FALSE),"bye")</f>
        <v>ΑΔΑΛΟΓΛΟΥ ΜΑΓΔΑΛΗΝΗ</v>
      </c>
      <c r="I29" s="238" t="str">
        <f t="shared" si="0"/>
        <v>ΑΔΑΛΟΓΛΟΥ</v>
      </c>
      <c r="J29" s="253">
        <f>IF($G29&gt;0,VLOOKUP($G29,[5]DrawPrep!$C$3:$G$18,3,FALSE),"")</f>
        <v>0</v>
      </c>
      <c r="K29" s="114"/>
      <c r="L29" s="217" t="str">
        <f>UPPER(IF($A$2="R",IF(OR(K30=1,K30="a"),G29,IF(OR(K30=2,K30="b"),G31,"")),IF(OR(K30=1,K30="1"),I29,IF(OR(K30=2,K30="b"),I31,""))))</f>
        <v/>
      </c>
      <c r="M29" s="145"/>
      <c r="N29" s="171"/>
      <c r="O29" s="129"/>
      <c r="P29" s="178"/>
      <c r="R29" s="146"/>
    </row>
    <row r="30" spans="1:18" x14ac:dyDescent="0.2">
      <c r="A30" s="310"/>
      <c r="B30" s="254"/>
      <c r="C30" s="274"/>
      <c r="D30" s="256"/>
      <c r="E30" s="275"/>
      <c r="F30" s="312"/>
      <c r="G30" s="154">
        <f>IF([5]Setup!$B$24="#",0,IF(F29&gt;0,VLOOKUP(F29,[5]DrawPrep!$A$3:$I$18,7,FALSE),0))</f>
        <v>16</v>
      </c>
      <c r="H30" s="144" t="str">
        <f>IF(G30&gt;0,VLOOKUP(G30,[5]DrawPrep!$G$3:$I$18,2,FALSE)," ")</f>
        <v>ΚΩΤΣΑΚΗ ΑΙΚΑΤΕΡΙΝΗ</v>
      </c>
      <c r="I30" s="246" t="str">
        <f t="shared" si="0"/>
        <v>ΚΩΤΣΑΚΗ</v>
      </c>
      <c r="J30" s="156">
        <f>IF($G30&gt;0,VLOOKUP($G30,[5]DrawPrep!$G$3:$I$18,3,FALSE),"")</f>
        <v>0</v>
      </c>
      <c r="K30" s="224"/>
      <c r="L30" s="217" t="str">
        <f>UPPER(IF($A$2="R",IF(OR(K30=1,K30="a"),G30,IF(OR(K30=2,K30="b"),G32,"")),IF(OR(K30=1,K30="1"),I30,IF(OR(K30=2,K30="b"),I32,""))))</f>
        <v/>
      </c>
      <c r="M30" s="145"/>
      <c r="N30" s="171"/>
      <c r="O30" s="145"/>
      <c r="P30" s="146"/>
      <c r="R30" s="146"/>
    </row>
    <row r="31" spans="1:18" x14ac:dyDescent="0.2">
      <c r="A31" s="309">
        <v>14</v>
      </c>
      <c r="B31" s="248">
        <f>11-D31+4</f>
        <v>10</v>
      </c>
      <c r="C31" s="249">
        <v>8</v>
      </c>
      <c r="D31" s="250">
        <f>D29+E31</f>
        <v>5</v>
      </c>
      <c r="E31" s="251">
        <f>IF($B$2&gt;=C31,1,0)</f>
        <v>0</v>
      </c>
      <c r="F31" s="311">
        <f>IF($B$2&gt;=C31,"-",VLOOKUP($B31,[5]Setup!$G$12:$H$27,2,FALSE))</f>
        <v>5</v>
      </c>
      <c r="G31" s="139">
        <f>IF([5]Setup!$B$24="#",0,IF(NOT(F31="-"),VLOOKUP(F31,[5]DrawPrep!$A$3:$I$18,3,FALSE),0))</f>
        <v>5</v>
      </c>
      <c r="H31" s="252" t="str">
        <f>IF(G31&gt;0,VLOOKUP(G31,[5]DrawPrep!$C$3:$G$18,2,FALSE),"bye")</f>
        <v>ΠΡΕΖΑΝΗ ΑΓΓΕΛΙΚΗ</v>
      </c>
      <c r="I31" s="238" t="str">
        <f t="shared" si="0"/>
        <v>ΠΡΕΖΑΝΗ</v>
      </c>
      <c r="J31" s="253">
        <f>IF($G31&gt;0,VLOOKUP($G31,[5]DrawPrep!$C$3:$G$18,3,FALSE),"")</f>
        <v>0</v>
      </c>
      <c r="K31" s="157"/>
      <c r="L31" s="158"/>
      <c r="M31" s="114"/>
      <c r="N31" s="188" t="str">
        <f>UPPER(IF($A$2="R",IF(OR(M32=1,M32="a"),L29,IF(OR(M32=2,M31="b"),L33,"")),IF(OR(M32=1,M32="a"),L29,IF(OR(M32=2,M32="b"),L33,""))))</f>
        <v/>
      </c>
      <c r="O31" s="145"/>
      <c r="P31" s="146"/>
      <c r="R31" s="146"/>
    </row>
    <row r="32" spans="1:18" x14ac:dyDescent="0.2">
      <c r="A32" s="310"/>
      <c r="B32" s="254"/>
      <c r="C32" s="255"/>
      <c r="D32" s="256"/>
      <c r="E32" s="257"/>
      <c r="F32" s="312"/>
      <c r="G32" s="154">
        <f>IF([5]Setup!$B$24="#",0,IF(NOT(F31="-"),VLOOKUP(F31,[5]DrawPrep!$A$3:$I$18,7,FALSE),0))</f>
        <v>15</v>
      </c>
      <c r="H32" s="144" t="str">
        <f>IF(G32&gt;0,VLOOKUP(G32,[5]DrawPrep!$G$3:$I$18,2,FALSE)," ")</f>
        <v>ΒΑΣΙΛΕΙΑΔΗ ΕΒΙΤΑ</v>
      </c>
      <c r="I32" s="246" t="str">
        <f t="shared" si="0"/>
        <v>ΒΑΣΙΛΕΙΑΔΗ</v>
      </c>
      <c r="J32" s="156">
        <f>IF($G32&gt;0,VLOOKUP($G32,[5]DrawPrep!$G$3:$I$18,3,FALSE),"")</f>
        <v>0</v>
      </c>
      <c r="K32" s="129"/>
      <c r="L32" s="171"/>
      <c r="M32" s="172"/>
      <c r="N32" s="156" t="str">
        <f>UPPER(IF($A$2="R",IF(OR(M32=1,M32="a"),L30,IF(OR(M32=2,M32="b"),L34,"")),IF(OR(M32=1,M32="a"),L30,IF(OR(M32=2,M32="b"),L34,""))))</f>
        <v/>
      </c>
      <c r="O32" s="145"/>
      <c r="P32" s="146"/>
      <c r="R32" s="146"/>
    </row>
    <row r="33" spans="1:18" x14ac:dyDescent="0.2">
      <c r="A33" s="313">
        <v>15</v>
      </c>
      <c r="B33" s="258">
        <f>12-D33+4</f>
        <v>10</v>
      </c>
      <c r="C33" s="259">
        <v>2</v>
      </c>
      <c r="D33" s="260">
        <f>D31+E33</f>
        <v>6</v>
      </c>
      <c r="E33" s="260">
        <f>IF($B$2&gt;=C33,1,0)</f>
        <v>1</v>
      </c>
      <c r="F33" s="315" t="str">
        <f>IF($B$2&gt;=C33,"-",VLOOKUP($B33,[5]Setup!$G$12:$H$27,2,FALSE))</f>
        <v>-</v>
      </c>
      <c r="G33" s="261">
        <f>IF([5]Setup!$B$24="#",0,IF(NOT(F33="-"),VLOOKUP(F33,[5]DrawPrep!$A$3:$I$18,3,FALSE),0))</f>
        <v>0</v>
      </c>
      <c r="H33" s="262" t="str">
        <f>IF(G33&gt;0,VLOOKUP(G33,[5]DrawPrep!$C$3:$G$18,2,FALSE),"bye")</f>
        <v>bye</v>
      </c>
      <c r="I33" s="263" t="str">
        <f t="shared" si="0"/>
        <v/>
      </c>
      <c r="J33" s="264" t="str">
        <f>IF($G33&gt;0,VLOOKUP($G33,[5]DrawPrep!$C$3:$G$18,3,FALSE),"")</f>
        <v/>
      </c>
      <c r="K33" s="114"/>
      <c r="L33" s="217" t="str">
        <f>UPPER(IF($A$2="R",IF(OR(K34=1,K34="a"),G33,IF(OR(K34=2,K34="b"),G35,"")),IF(OR(K34=1,K34="1"),I33,IF(OR(K34=2,K34="b"),I35,""))))</f>
        <v>ΝΙΚΟΛΟΠΟΥΛΟΥ</v>
      </c>
      <c r="M33" s="191"/>
      <c r="N33" s="146"/>
      <c r="O33" s="145"/>
      <c r="P33" s="146"/>
      <c r="R33" s="146"/>
    </row>
    <row r="34" spans="1:18" x14ac:dyDescent="0.2">
      <c r="A34" s="314"/>
      <c r="B34" s="265"/>
      <c r="C34" s="266"/>
      <c r="D34" s="267"/>
      <c r="E34" s="267"/>
      <c r="F34" s="316"/>
      <c r="G34" s="268">
        <f>IF([5]Setup!$B$24="#",0,IF(NOT(F33="-"),VLOOKUP(F33,[5]DrawPrep!$A$3:$I$18,7,FALSE),0))</f>
        <v>0</v>
      </c>
      <c r="H34" s="269" t="str">
        <f>IF(G34&gt;0,VLOOKUP(G34,[5]DrawPrep!$G$3:$I$18,2,FALSE)," ")</f>
        <v xml:space="preserve"> </v>
      </c>
      <c r="I34" s="270" t="str">
        <f t="shared" si="0"/>
        <v/>
      </c>
      <c r="J34" s="271" t="str">
        <f>IF($G34&gt;0,VLOOKUP($G34,[5]DrawPrep!$G$3:$I$18,3,FALSE),"")</f>
        <v/>
      </c>
      <c r="K34" s="172">
        <v>2</v>
      </c>
      <c r="L34" s="217" t="str">
        <f>UPPER(IF($A$2="R",IF(OR(K34=1,K34="a"),G34,IF(OR(K34=2,K34="b"),G36,"")),IF(OR(K34=1,K34="1"),I34,IF(OR(K34=2,K34="b"),I36,""))))</f>
        <v>ΤΣΕΛΟΥ</v>
      </c>
      <c r="M34" s="191"/>
      <c r="N34" s="146"/>
      <c r="O34" s="145"/>
      <c r="P34" s="146"/>
      <c r="R34" s="146"/>
    </row>
    <row r="35" spans="1:18" x14ac:dyDescent="0.2">
      <c r="A35" s="313">
        <v>16</v>
      </c>
      <c r="B35" s="258">
        <v>2</v>
      </c>
      <c r="C35" s="259"/>
      <c r="D35" s="260">
        <f>D33+E35</f>
        <v>6</v>
      </c>
      <c r="E35" s="260">
        <v>0</v>
      </c>
      <c r="F35" s="319">
        <f>VLOOKUP($B35,[5]Setup!$G$12:$H$27,2,FALSE)</f>
        <v>2</v>
      </c>
      <c r="G35" s="276">
        <f>IF([5]Setup!$B$24="#",0,IF(F35&gt;0,VLOOKUP(F35,[5]DrawPrep!$A$3:$I$18,3,FALSE),0))</f>
        <v>2</v>
      </c>
      <c r="H35" s="277" t="str">
        <f>IF(G35&gt;0,VLOOKUP(G35,[5]DrawPrep!$C$3:$G$18,2,FALSE),"bye")</f>
        <v>ΝΙΚΟΛΟΠΟΥΛΟΥ ΝΑΤΑΛΙΑ</v>
      </c>
      <c r="I35" s="263" t="str">
        <f t="shared" si="0"/>
        <v>ΝΙΚΟΛΟΠΟΥΛΟΥ</v>
      </c>
      <c r="J35" s="278">
        <f>IF($G35&gt;0,VLOOKUP($G35,[5]DrawPrep!$C$3:$G$18,3,FALSE),"")</f>
        <v>0</v>
      </c>
      <c r="K35" s="129"/>
      <c r="L35" s="178"/>
      <c r="N35" s="146"/>
      <c r="P35" s="146"/>
      <c r="Q35" s="129"/>
      <c r="R35" s="299"/>
    </row>
    <row r="36" spans="1:18" x14ac:dyDescent="0.2">
      <c r="A36" s="314"/>
      <c r="B36" s="296"/>
      <c r="C36" s="287"/>
      <c r="D36" s="288"/>
      <c r="E36" s="288"/>
      <c r="F36" s="320"/>
      <c r="G36" s="279">
        <f>IF([5]Setup!$B$24="#",0,IF(F35&gt;0,VLOOKUP(F35,[5]DrawPrep!$A$3:$I$18,7,FALSE),0))</f>
        <v>12</v>
      </c>
      <c r="H36" s="289" t="str">
        <f>IF(G36&gt;0,VLOOKUP(G36,[5]DrawPrep!$G$3:$I$18,2,FALSE)," ")</f>
        <v>ΤΣΕΛΟΥ ΑΘΑΝΑΣΙΑ</v>
      </c>
      <c r="I36" s="290" t="str">
        <f t="shared" si="0"/>
        <v>ΤΣΕΛΟΥ</v>
      </c>
      <c r="J36" s="291">
        <f>IF($G36&gt;0,VLOOKUP($G36,[5]DrawPrep!$G$3:$I$18,3,FALSE),"")</f>
        <v>0</v>
      </c>
      <c r="K36" s="129"/>
      <c r="L36" s="146"/>
      <c r="N36" s="146"/>
      <c r="P36" s="146"/>
      <c r="R36" s="196" t="s">
        <v>10</v>
      </c>
    </row>
    <row r="39" spans="1:18" x14ac:dyDescent="0.2">
      <c r="H39" s="202" t="s">
        <v>11</v>
      </c>
      <c r="I39" s="199"/>
      <c r="J39" s="199"/>
      <c r="P39" s="210" t="s">
        <v>12</v>
      </c>
      <c r="Q39" s="207"/>
      <c r="R39" s="199"/>
    </row>
    <row r="40" spans="1:18" x14ac:dyDescent="0.2">
      <c r="H40" s="318" t="str">
        <f>"1. " &amp; IF([5]Setup!$B$19&gt;0,LEFT([5]DrawPrep!$D$3,FIND(" ",[5]DrawPrep!$D$3)+1)&amp;" - "&amp;LEFT([5]DrawPrep!$H$3,FIND(" ",[5]DrawPrep!$H$3)+1),"")</f>
        <v>1. ΣΤΕΦΑΝΟΥ Α - ΧΡΙΣΤΟΦΗ Ε</v>
      </c>
      <c r="I40" s="318"/>
      <c r="J40" s="318"/>
      <c r="P40" s="308" t="str">
        <f>[5]Setup!B10</f>
        <v>Ταμπόση Τα.</v>
      </c>
      <c r="Q40" s="308"/>
      <c r="R40" s="308"/>
    </row>
    <row r="41" spans="1:18" x14ac:dyDescent="0.2">
      <c r="H41" s="318" t="str">
        <f>"2. " &amp; IF([5]Setup!$B$19&gt;1,LEFT([5]DrawPrep!$D$4,FIND(" ",[5]DrawPrep!$D$4)+1)&amp;" - "&amp;LEFT([5]DrawPrep!$H$4,FIND(" ",[5]DrawPrep!$H$4)+1),"")</f>
        <v>2. ΝΙΚΟΛΟΠΟΥΛΟΥ Ν - ΤΣΕΛΟΥ Α</v>
      </c>
      <c r="I41" s="318"/>
      <c r="J41" s="318"/>
    </row>
    <row r="42" spans="1:18" x14ac:dyDescent="0.2">
      <c r="H42" s="318" t="str">
        <f>"3. " &amp; IF([5]Setup!$B$19&gt;2,LEFT([5]DrawPrep!$D$5,FIND(" ",[5]DrawPrep!$D$5)+1)&amp;" - "&amp;LEFT([5]DrawPrep!$H$5,FIND(" ",[5]DrawPrep!$H$5)+1),"")</f>
        <v>3. ΛΑΘΟΥΡΗ Ι - ΑΓΓΕΛΑΤΟΥ Α</v>
      </c>
      <c r="I42" s="318"/>
      <c r="J42" s="318"/>
    </row>
    <row r="43" spans="1:18" x14ac:dyDescent="0.2">
      <c r="H43" s="318" t="str">
        <f>"4. " &amp; IF([5]Setup!$B$19&gt;3,LEFT([5]DrawPrep!$D$6,FIND(" ",[5]DrawPrep!$D$6)+1)&amp;" - "&amp;LEFT([5]DrawPrep!$H$6,FIND(" ",[5]DrawPrep!$H$6)+1),"")</f>
        <v>4. ΚΑΠΛΑΝΗ Α - ΡΟΥΣΣΗ Ε</v>
      </c>
      <c r="I43" s="318"/>
      <c r="J43" s="318"/>
    </row>
    <row r="58" spans="8:10" x14ac:dyDescent="0.2">
      <c r="H58" s="202" t="s">
        <v>13</v>
      </c>
      <c r="I58" s="199"/>
      <c r="J58" s="199"/>
    </row>
    <row r="59" spans="8:10" x14ac:dyDescent="0.2">
      <c r="H59" s="208" t="str">
        <f>IF([5]Setup!$B$19&gt;0,LEFT([5]DrawPrep!$D$3,FIND(" ",[5]DrawPrep!$D$3)-1))</f>
        <v>ΣΤΕΦΑΝΟΥ</v>
      </c>
      <c r="I59" s="208"/>
      <c r="J59" s="208"/>
    </row>
    <row r="60" spans="8:10" x14ac:dyDescent="0.2">
      <c r="H60" s="208" t="str">
        <f>IF([5]Setup!$B$19&gt;0,LEFT([5]DrawPrep!$H$3,FIND(" ",[5]DrawPrep!$H$3)-1),"")</f>
        <v>ΧΡΙΣΤΟΦΗ</v>
      </c>
      <c r="I60" s="208"/>
      <c r="J60" s="208"/>
    </row>
    <row r="61" spans="8:10" x14ac:dyDescent="0.2">
      <c r="H61" s="208" t="str">
        <f>IF([5]Setup!$B$19&gt;0,LEFT([5]DrawPrep!$D$4,FIND(" ",[5]DrawPrep!$D$4)-1))</f>
        <v>ΝΙΚΟΛΟΠΟΥΛΟΥ</v>
      </c>
      <c r="I61" s="208"/>
      <c r="J61" s="208"/>
    </row>
    <row r="62" spans="8:10" x14ac:dyDescent="0.2">
      <c r="H62" s="208" t="str">
        <f>IF([5]Setup!$B$19&gt;0,LEFT([5]DrawPrep!$H$4,FIND(" ",[5]DrawPrep!$H$4)-1),"")</f>
        <v>ΤΣΕΛΟΥ</v>
      </c>
      <c r="I62" s="208"/>
      <c r="J62" s="208"/>
    </row>
    <row r="63" spans="8:10" x14ac:dyDescent="0.2">
      <c r="H63" s="208" t="str">
        <f>IF([5]Setup!$B$19&gt;0,LEFT([5]DrawPrep!$D$5,FIND(" ",[5]DrawPrep!$D$5)-1))</f>
        <v>ΛΑΘΟΥΡΗ</v>
      </c>
      <c r="I63" s="208"/>
      <c r="J63" s="208"/>
    </row>
    <row r="64" spans="8:10" x14ac:dyDescent="0.2">
      <c r="H64" s="208" t="str">
        <f>IF([5]Setup!$B$19&gt;0,LEFT([5]DrawPrep!$H$5,FIND(" ",[5]DrawPrep!$H$5)-1),"")</f>
        <v>ΑΓΓΕΛΑΤΟΥ</v>
      </c>
      <c r="I64" s="208"/>
      <c r="J64" s="208"/>
    </row>
    <row r="65" spans="8:10" x14ac:dyDescent="0.2">
      <c r="H65" s="208" t="str">
        <f>IF([5]Setup!$B$19&gt;0,LEFT([5]DrawPrep!$D$6,FIND(" ",[5]DrawPrep!$D$6)-1))</f>
        <v>ΚΑΠΛΑΝΗ</v>
      </c>
      <c r="I65" s="208"/>
      <c r="J65" s="208"/>
    </row>
    <row r="66" spans="8:10" x14ac:dyDescent="0.2">
      <c r="H66" s="208" t="str">
        <f>IF([5]Setup!$B$19&gt;0,LEFT([5]DrawPrep!$H$6,FIND(" ",[5]DrawPrep!$H$6)-1),"")</f>
        <v>ΡΟΥΣΣΗ</v>
      </c>
      <c r="I66" s="208"/>
      <c r="J66" s="208"/>
    </row>
  </sheetData>
  <sheetProtection password="CF33" sheet="1" objects="1" scenarios="1" formatCells="0" formatColumns="0" formatRows="0"/>
  <mergeCells count="39">
    <mergeCell ref="A1:N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P40:R40"/>
    <mergeCell ref="A27:A28"/>
    <mergeCell ref="F27:F28"/>
    <mergeCell ref="A29:A30"/>
    <mergeCell ref="F29:F30"/>
    <mergeCell ref="A31:A32"/>
    <mergeCell ref="F31:F32"/>
    <mergeCell ref="H41:J41"/>
    <mergeCell ref="H42:J42"/>
    <mergeCell ref="H43:J43"/>
    <mergeCell ref="A33:A34"/>
    <mergeCell ref="F33:F34"/>
    <mergeCell ref="A35:A36"/>
    <mergeCell ref="F35:F36"/>
    <mergeCell ref="H40:J40"/>
  </mergeCells>
  <conditionalFormatting sqref="L5:L6 L13:L14 L21:L22 L29:L30 L9:L10 L17:L18 L25:L26 L33:L34 N31:N32 N23:N24 N15:N16 N7:N8 P11:P12 P27:P28 P19:P20">
    <cfRule type="expression" dxfId="64"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5]!Sheet2pdf">
                <anchor moveWithCells="1" sizeWithCells="1">
                  <from>
                    <xdr:col>18</xdr:col>
                    <xdr:colOff>0</xdr:colOff>
                    <xdr:row>7</xdr:row>
                    <xdr:rowOff>95250</xdr:rowOff>
                  </from>
                  <to>
                    <xdr:col>21</xdr:col>
                    <xdr:colOff>133350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S66"/>
  <sheetViews>
    <sheetView showGridLines="0" showZeros="0" zoomScale="110" workbookViewId="0">
      <pane ySplit="1" topLeftCell="A2" activePane="bottomLeft" state="frozen"/>
      <selection pane="bottomLeft" activeCell="H44" sqref="H44"/>
    </sheetView>
  </sheetViews>
  <sheetFormatPr defaultColWidth="5.140625" defaultRowHeight="11.25" x14ac:dyDescent="0.2"/>
  <cols>
    <col min="1" max="1" width="2.42578125" style="114" bestFit="1" customWidth="1"/>
    <col min="2" max="2" width="2.28515625" style="114" hidden="1" customWidth="1"/>
    <col min="3" max="3" width="5.85546875" style="117" hidden="1" customWidth="1"/>
    <col min="4" max="4" width="5.28515625" style="118" hidden="1" customWidth="1"/>
    <col min="5" max="5" width="4.5703125" style="118" hidden="1" customWidth="1"/>
    <col min="6" max="6" width="3.42578125" style="117" bestFit="1" customWidth="1"/>
    <col min="7" max="7" width="6.5703125" style="232" customWidth="1"/>
    <col min="8" max="8" width="27.5703125" style="114" customWidth="1"/>
    <col min="9" max="9" width="12.85546875" style="114" hidden="1" customWidth="1"/>
    <col min="10" max="10" width="6.85546875" style="114" customWidth="1"/>
    <col min="11" max="11" width="1.42578125" style="195" bestFit="1" customWidth="1"/>
    <col min="12" max="12" width="14.140625" style="114" customWidth="1"/>
    <col min="13" max="13" width="1.42578125" style="147" bestFit="1" customWidth="1"/>
    <col min="14" max="14" width="14.140625" style="114" customWidth="1"/>
    <col min="15" max="15" width="1.42578125" style="147" bestFit="1" customWidth="1"/>
    <col min="16" max="16" width="14.140625" style="198" customWidth="1"/>
    <col min="17" max="17" width="1.42578125" style="145" bestFit="1" customWidth="1"/>
    <col min="18" max="18" width="12.85546875" style="198" bestFit="1" customWidth="1"/>
    <col min="19" max="19" width="5.140625" style="198" customWidth="1"/>
    <col min="20" max="16384" width="5.140625" style="114"/>
  </cols>
  <sheetData>
    <row r="1" spans="1:19" s="110" customFormat="1" ht="16.5" x14ac:dyDescent="0.2">
      <c r="A1" s="306" t="str">
        <f>[7]Setup!B3 &amp; ", " &amp; [7]Setup!B4 &amp; ", " &amp; [7]Setup!B6 &amp; ", " &amp; [7]Setup!B8 &amp; "-" &amp; [7]Setup!B9</f>
        <v>Η΄ΕΝΩΣΗ, OPEN MASTERS, Ο.Α.ΑΘΗΝΩΝ, 13-22 Νοε</v>
      </c>
      <c r="B1" s="306"/>
      <c r="C1" s="306"/>
      <c r="D1" s="306"/>
      <c r="E1" s="306"/>
      <c r="F1" s="306"/>
      <c r="G1" s="306"/>
      <c r="H1" s="306"/>
      <c r="I1" s="306"/>
      <c r="J1" s="306"/>
      <c r="K1" s="306"/>
      <c r="L1" s="306"/>
      <c r="M1" s="306"/>
      <c r="N1" s="306"/>
      <c r="O1" s="107"/>
      <c r="P1" s="324" t="str">
        <f>[7]Setup!B7</f>
        <v>mix</v>
      </c>
      <c r="Q1" s="297"/>
      <c r="S1" s="223"/>
    </row>
    <row r="2" spans="1:19" s="231" customFormat="1" ht="8.25" x14ac:dyDescent="0.2">
      <c r="A2" s="224"/>
      <c r="B2" s="129">
        <f>[7]Setup!$B$18</f>
        <v>5</v>
      </c>
      <c r="C2" s="129"/>
      <c r="D2" s="225"/>
      <c r="E2" s="225"/>
      <c r="F2" s="226"/>
      <c r="G2" s="226"/>
      <c r="H2" s="227"/>
      <c r="I2" s="227"/>
      <c r="J2" s="227"/>
      <c r="K2" s="129"/>
      <c r="L2" s="227"/>
      <c r="M2" s="225"/>
      <c r="N2" s="227"/>
      <c r="O2" s="225"/>
      <c r="P2" s="228"/>
      <c r="Q2" s="229"/>
      <c r="R2" s="228"/>
      <c r="S2" s="230"/>
    </row>
    <row r="3" spans="1:19" x14ac:dyDescent="0.2">
      <c r="H3" s="307">
        <v>16</v>
      </c>
      <c r="I3" s="307"/>
      <c r="J3" s="307"/>
      <c r="K3" s="120"/>
      <c r="L3" s="301">
        <v>8</v>
      </c>
      <c r="M3" s="122"/>
      <c r="N3" s="301">
        <v>4</v>
      </c>
      <c r="O3" s="122"/>
      <c r="P3" s="123" t="s">
        <v>19</v>
      </c>
      <c r="Q3" s="124"/>
      <c r="R3" s="131"/>
    </row>
    <row r="4" spans="1:19" s="117" customFormat="1" x14ac:dyDescent="0.2">
      <c r="A4" s="125" t="s">
        <v>0</v>
      </c>
      <c r="B4" s="126"/>
      <c r="C4" s="127" t="s">
        <v>1</v>
      </c>
      <c r="D4" s="127" t="s">
        <v>2</v>
      </c>
      <c r="E4" s="127" t="s">
        <v>3</v>
      </c>
      <c r="F4" s="125" t="s">
        <v>5</v>
      </c>
      <c r="G4" s="125" t="s">
        <v>7</v>
      </c>
      <c r="H4" s="128" t="s">
        <v>8</v>
      </c>
      <c r="I4" s="298" t="s">
        <v>9</v>
      </c>
      <c r="J4" s="128"/>
      <c r="K4" s="129"/>
      <c r="M4" s="130"/>
      <c r="O4" s="130"/>
      <c r="P4" s="131"/>
      <c r="Q4" s="112"/>
      <c r="R4" s="131"/>
      <c r="S4" s="131"/>
    </row>
    <row r="5" spans="1:19" x14ac:dyDescent="0.2">
      <c r="A5" s="309">
        <v>1</v>
      </c>
      <c r="B5" s="233">
        <v>1</v>
      </c>
      <c r="C5" s="234"/>
      <c r="D5" s="235"/>
      <c r="E5" s="236">
        <v>0</v>
      </c>
      <c r="F5" s="321">
        <f>VLOOKUP($B5,[7]Setup!$G$12:$H$27,2,FALSE)</f>
        <v>1</v>
      </c>
      <c r="G5" s="140">
        <f>IF([7]Setup!$B$24="#",0,IF(F5&gt;0,VLOOKUP(F5,[7]DrawPrep!$A$3:$I$18,3,FALSE),0))</f>
        <v>1</v>
      </c>
      <c r="H5" s="237" t="str">
        <f>IF(G5&gt;0,VLOOKUP(G5,[7]DrawPrep!$C$3:$I$18,2,FALSE),"bye")</f>
        <v>ΚΟΚΚΟΤΑ ΑΓΓΕΛΙΚΗ</v>
      </c>
      <c r="I5" s="238" t="str">
        <f>IF(G5&gt;0,LEFT(H5,FIND(" ",H5)-1),"")</f>
        <v>ΚΟΚΚΟΤΑ</v>
      </c>
      <c r="J5" s="142">
        <f>IF($G5&gt;0,VLOOKUP($G5,[7]DrawPrep!$C$3:$G$18,3,FALSE),"")</f>
        <v>0</v>
      </c>
      <c r="K5" s="114"/>
      <c r="L5" s="217" t="str">
        <f>UPPER(IF($A$2="R",IF(OR(K6=1,K6="a"),G5,IF(OR(K6=2,K6="b"),G7,"")),IF(OR(K6=1,K6="1"),I5,IF(OR(K6=2,K6="b"),I7,""))))</f>
        <v>ΚΟΚΚΟΤΑ</v>
      </c>
      <c r="M5" s="145"/>
      <c r="N5" s="146"/>
      <c r="P5" s="146"/>
      <c r="R5" s="146"/>
    </row>
    <row r="6" spans="1:19" x14ac:dyDescent="0.2">
      <c r="A6" s="310"/>
      <c r="B6" s="240"/>
      <c r="C6" s="241"/>
      <c r="D6" s="242"/>
      <c r="E6" s="243"/>
      <c r="F6" s="322"/>
      <c r="G6" s="244">
        <f>IF([7]Setup!$B$24="#",0,IF(F5&gt;0,VLOOKUP(F5,[7]DrawPrep!$A$3:$I$18,7,FALSE),0))</f>
        <v>12</v>
      </c>
      <c r="H6" s="245" t="str">
        <f>IF(G6&gt;0,VLOOKUP(G6,[7]DrawPrep!$G$3:$I$18,2,FALSE)," ")</f>
        <v>ΓΕΜΟΥΧΙΔΗΣ ΠΑΡΙΣ</v>
      </c>
      <c r="I6" s="246" t="str">
        <f>IF(G6&gt;0,LEFT(H6,FIND(" ",H6)-1),"")</f>
        <v>ΓΕΜΟΥΧΙΔΗΣ</v>
      </c>
      <c r="J6" s="284">
        <f>IF($G6&gt;0,VLOOKUP($G6,[7]DrawPrep!$G$3:$I$18,3,FALSE),"")</f>
        <v>0</v>
      </c>
      <c r="K6" s="172">
        <v>1</v>
      </c>
      <c r="L6" s="217" t="str">
        <f>UPPER(IF($A$2="R",IF(OR(K6=1,K6="a"),G6,IF(OR(K6=2,K6="b"),G8,"")),IF(OR(K6=1,K6="1"),I6,IF(OR(K6=2,K6="b"),I8,""))))</f>
        <v>ΓΕΜΟΥΧΙΔΗΣ</v>
      </c>
      <c r="M6" s="145"/>
      <c r="N6" s="146"/>
      <c r="P6" s="146"/>
      <c r="R6" s="146"/>
    </row>
    <row r="7" spans="1:19" x14ac:dyDescent="0.2">
      <c r="A7" s="309">
        <v>2</v>
      </c>
      <c r="B7" s="248">
        <f>1-D7+4</f>
        <v>4</v>
      </c>
      <c r="C7" s="249">
        <v>1</v>
      </c>
      <c r="D7" s="250">
        <f>E7</f>
        <v>1</v>
      </c>
      <c r="E7" s="251">
        <f>IF($B$2&gt;=C7,1,0)</f>
        <v>1</v>
      </c>
      <c r="F7" s="311" t="str">
        <f>IF($B$2&gt;=C7,"-",VLOOKUP($B7,[7]Setup!$G$12:$H$27,2,FALSE))</f>
        <v>-</v>
      </c>
      <c r="G7" s="139">
        <f>IF([7]Setup!$B$24="#",0,IF(NOT(F7="-"),VLOOKUP(F7,[7]DrawPrep!$A$3:$I$18,3,FALSE),0))</f>
        <v>0</v>
      </c>
      <c r="H7" s="252" t="str">
        <f>IF(G7&gt;0,VLOOKUP(G7,[7]DrawPrep!$C$3:$G$18,2,FALSE),"bye")</f>
        <v>bye</v>
      </c>
      <c r="I7" s="238" t="str">
        <f t="shared" ref="I7:I36" si="0">IF(G7&gt;0,LEFT(H7,FIND(" ",H7)-1),"")</f>
        <v/>
      </c>
      <c r="J7" s="253" t="str">
        <f>IF($G7&gt;0,VLOOKUP($G7,[7]DrawPrep!$C$3:$G$18,3,FALSE),"")</f>
        <v/>
      </c>
      <c r="K7" s="129"/>
      <c r="L7" s="158"/>
      <c r="M7" s="114"/>
      <c r="N7" s="217" t="str">
        <f>UPPER(IF($A$2="R",IF(OR(M8=1,M8="a"),L5,IF(OR(M8=2,M7="b"),L9,"")),IF(OR(M8=1,M8="a"),L5,IF(OR(M8=2,M8="b"),L9,""))))</f>
        <v/>
      </c>
      <c r="O7" s="145"/>
      <c r="P7" s="146"/>
      <c r="R7" s="146"/>
    </row>
    <row r="8" spans="1:19" x14ac:dyDescent="0.2">
      <c r="A8" s="310"/>
      <c r="B8" s="254"/>
      <c r="C8" s="255"/>
      <c r="D8" s="256"/>
      <c r="E8" s="257"/>
      <c r="F8" s="312"/>
      <c r="G8" s="154">
        <f>IF([7]Setup!$B$24="#",0,IF(NOT(F7="-"),VLOOKUP(F7,[7]DrawPrep!$A$3:$I$18,7,FALSE),0))</f>
        <v>0</v>
      </c>
      <c r="H8" s="144" t="str">
        <f>IF(G8&gt;0,VLOOKUP(G8,[7]DrawPrep!$G$3:$I$18,2,FALSE)," ")</f>
        <v xml:space="preserve"> </v>
      </c>
      <c r="I8" s="246" t="str">
        <f t="shared" si="0"/>
        <v/>
      </c>
      <c r="J8" s="156" t="str">
        <f>IF($G8&gt;0,VLOOKUP($G8,[7]DrawPrep!$G$3:$I$18,3,FALSE),"")</f>
        <v/>
      </c>
      <c r="K8" s="129"/>
      <c r="L8" s="171"/>
      <c r="M8" s="143"/>
      <c r="N8" s="217" t="str">
        <f>UPPER(IF($A$2="R",IF(OR(M8=1,M8="a"),L6,IF(OR(M8=2,M8="b"),L10,"")),IF(OR(M8=1,M8="a"),L6,IF(OR(M8=2,M8="b"),L10,""))))</f>
        <v/>
      </c>
      <c r="O8" s="145"/>
      <c r="P8" s="146"/>
      <c r="R8" s="146"/>
    </row>
    <row r="9" spans="1:19" x14ac:dyDescent="0.2">
      <c r="A9" s="325">
        <v>3</v>
      </c>
      <c r="B9" s="326">
        <f>2-D9+4</f>
        <v>5</v>
      </c>
      <c r="C9" s="327"/>
      <c r="D9" s="328">
        <f>D7+E9</f>
        <v>1</v>
      </c>
      <c r="E9" s="328">
        <v>0</v>
      </c>
      <c r="F9" s="329">
        <f>VLOOKUP($B9,[7]Setup!$G$12:$H$27,2,FALSE)</f>
        <v>7</v>
      </c>
      <c r="G9" s="330">
        <f>IF([7]Setup!$B$24="#",0,IF(F9&gt;0,VLOOKUP(F9,[7]DrawPrep!$A$3:$I$18,3,FALSE),0))</f>
        <v>7</v>
      </c>
      <c r="H9" s="331" t="str">
        <f>IF(G9&gt;0,VLOOKUP(G9,[7]DrawPrep!$C$3:$G$18,2,FALSE),"bye")</f>
        <v>ΑΔΑΛΟΓΛΟΥ ΜΑΓΔΑΛΗΝΗ</v>
      </c>
      <c r="I9" s="332" t="str">
        <f t="shared" si="0"/>
        <v>ΑΔΑΛΟΓΛΟΥ</v>
      </c>
      <c r="J9" s="333">
        <f>IF($G9&gt;0,VLOOKUP($G9,[7]DrawPrep!$C$3:$G$18,3,FALSE),"")</f>
        <v>0</v>
      </c>
      <c r="K9" s="114"/>
      <c r="L9" s="217" t="str">
        <f>UPPER(IF($A$2="R",IF(OR(K10=1,K10="a"),G9,IF(OR(K10=2,K10="b"),G11,"")),IF(OR(K10=1,K10="1"),I9,IF(OR(K10=2,K10="b"),I11,""))))</f>
        <v/>
      </c>
      <c r="M9" s="191"/>
      <c r="N9" s="158"/>
      <c r="O9" s="145"/>
      <c r="P9" s="146"/>
      <c r="R9" s="146"/>
    </row>
    <row r="10" spans="1:19" x14ac:dyDescent="0.2">
      <c r="A10" s="334"/>
      <c r="B10" s="335"/>
      <c r="C10" s="336"/>
      <c r="D10" s="337"/>
      <c r="E10" s="337"/>
      <c r="F10" s="338"/>
      <c r="G10" s="339">
        <f>IF([7]Setup!$B$24="#",0,IF(F9&gt;0,VLOOKUP(F9,[7]DrawPrep!$A$3:$I$18,7,FALSE),0))</f>
        <v>18</v>
      </c>
      <c r="H10" s="340" t="str">
        <f>IF(G10&gt;0,VLOOKUP(G10,[7]DrawPrep!$G$3:$I$18,2,FALSE)," ")</f>
        <v>ΤΡΙΑΝΤΗΣ ΦΩΤΗΣ</v>
      </c>
      <c r="I10" s="341" t="str">
        <f t="shared" si="0"/>
        <v>ΤΡΙΑΝΤΗΣ</v>
      </c>
      <c r="J10" s="342">
        <f>IF($G10&gt;0,VLOOKUP($G10,[7]DrawPrep!$G$3:$I$18,3,FALSE),"")</f>
        <v>0</v>
      </c>
      <c r="K10" s="172"/>
      <c r="L10" s="217" t="str">
        <f>UPPER(IF($A$2="R",IF(OR(K10=1,K10="a"),G10,IF(OR(K10=2,K10="b"),G12,"")),IF(OR(K10=1,K10="1"),I10,IF(OR(K10=2,K10="b"),I12,""))))</f>
        <v/>
      </c>
      <c r="M10" s="191"/>
      <c r="N10" s="171"/>
      <c r="O10" s="145"/>
      <c r="P10" s="146"/>
      <c r="R10" s="146"/>
    </row>
    <row r="11" spans="1:19" x14ac:dyDescent="0.2">
      <c r="A11" s="325">
        <v>4</v>
      </c>
      <c r="B11" s="326">
        <f>3-D11+4</f>
        <v>6</v>
      </c>
      <c r="C11" s="327">
        <v>7</v>
      </c>
      <c r="D11" s="328">
        <f>D9+E11</f>
        <v>1</v>
      </c>
      <c r="E11" s="328">
        <f>IF($B$2&gt;=C11,1,0)</f>
        <v>0</v>
      </c>
      <c r="F11" s="329">
        <f>IF($B$2&gt;=C11,"-",VLOOKUP($B11,[7]Setup!$G$12:$H$27,2,FALSE))</f>
        <v>6</v>
      </c>
      <c r="G11" s="330">
        <f>IF([7]Setup!$B$24="#",0,IF(NOT(F11="-"),VLOOKUP(F11,[7]DrawPrep!$A$3:$I$18,3,FALSE),0))</f>
        <v>6</v>
      </c>
      <c r="H11" s="331" t="str">
        <f>IF(G11&gt;0,VLOOKUP(G11,[7]DrawPrep!$C$3:$G$18,2,FALSE),"bye")</f>
        <v>ΣΑΡΛΗ ΟΛΓΑ</v>
      </c>
      <c r="I11" s="332" t="str">
        <f t="shared" si="0"/>
        <v>ΣΑΡΛΗ</v>
      </c>
      <c r="J11" s="333">
        <f>IF($G11&gt;0,VLOOKUP($G11,[7]DrawPrep!$C$3:$G$18,3,FALSE),"")</f>
        <v>0</v>
      </c>
      <c r="K11" s="129"/>
      <c r="L11" s="178"/>
      <c r="M11" s="145"/>
      <c r="N11" s="171"/>
      <c r="O11" s="114"/>
      <c r="P11" s="217" t="str">
        <f>UPPER(IF($A$2="R",IF(OR(O12=1,O12="a"),N7,IF(OR(O12=2,O12="b"),N15,"")),IF(OR(O12=1,O12="a"),N7,IF(OR(O12=2,O12="b"),N15,""))))</f>
        <v/>
      </c>
      <c r="R11" s="146"/>
    </row>
    <row r="12" spans="1:19" x14ac:dyDescent="0.2">
      <c r="A12" s="334"/>
      <c r="B12" s="335"/>
      <c r="C12" s="336"/>
      <c r="D12" s="337"/>
      <c r="E12" s="337"/>
      <c r="F12" s="338"/>
      <c r="G12" s="339">
        <f>IF([7]Setup!$B$24="#",0,IF(NOT(F11="-"),VLOOKUP(F11,[7]DrawPrep!$A$3:$I$18,7,FALSE),0))</f>
        <v>17</v>
      </c>
      <c r="H12" s="340" t="str">
        <f>IF(G12&gt;0,VLOOKUP(G12,[7]DrawPrep!$G$3:$I$18,2,FALSE)," ")</f>
        <v>ΔΗΜΑΣ ΑΛΕΞΙΟΣ</v>
      </c>
      <c r="I12" s="341" t="str">
        <f t="shared" si="0"/>
        <v>ΔΗΜΑΣ</v>
      </c>
      <c r="J12" s="342">
        <f>IF($G12&gt;0,VLOOKUP($G12,[7]DrawPrep!$G$3:$I$18,3,FALSE),"")</f>
        <v>0</v>
      </c>
      <c r="K12" s="129"/>
      <c r="L12" s="118"/>
      <c r="M12" s="145"/>
      <c r="N12" s="171"/>
      <c r="O12" s="172"/>
      <c r="P12" s="217" t="str">
        <f>UPPER(IF($A$2="R",IF(OR(O12=1,O12="a"),N8,IF(OR(O12=2,O12="b"),N16,"")),IF(OR(O12=1,O12="a"),N8,IF(OR(O12=2,O12="b"),N16,""))))</f>
        <v/>
      </c>
      <c r="R12" s="146"/>
    </row>
    <row r="13" spans="1:19" x14ac:dyDescent="0.2">
      <c r="A13" s="309">
        <v>5</v>
      </c>
      <c r="B13" s="248">
        <f>4-D13+4</f>
        <v>7</v>
      </c>
      <c r="C13" s="272"/>
      <c r="D13" s="250">
        <f>D11+E13</f>
        <v>1</v>
      </c>
      <c r="E13" s="273">
        <v>0</v>
      </c>
      <c r="F13" s="311">
        <f>VLOOKUP($B13,[7]Setup!$G$12:$H$27,2,FALSE)</f>
        <v>10</v>
      </c>
      <c r="G13" s="139">
        <f>IF([7]Setup!$B$24="#",0,IF(F13&gt;0,VLOOKUP(F13,[7]DrawPrep!$A$3:$I$18,3,FALSE),0))</f>
        <v>11</v>
      </c>
      <c r="H13" s="252" t="str">
        <f>IF(G13&gt;0,VLOOKUP(G13,[7]DrawPrep!$C$3:$G$18,2,FALSE),"bye")</f>
        <v>ΡΟΥΣΣΗ ΕΥΑ</v>
      </c>
      <c r="I13" s="238" t="str">
        <f t="shared" si="0"/>
        <v>ΡΟΥΣΣΗ</v>
      </c>
      <c r="J13" s="253">
        <f>IF($G13&gt;0,VLOOKUP($G13,[7]DrawPrep!$C$3:$G$18,3,FALSE),"")</f>
        <v>0</v>
      </c>
      <c r="K13" s="114"/>
      <c r="L13" s="217" t="str">
        <f>UPPER(IF($A$2="R",IF(OR(K14=1,K14="a"),G13,IF(OR(K14=2,K14="b"),G15,"")),IF(OR(K14=1,K14="1"),I13,IF(OR(K14=2,K14="b"),I15,""))))</f>
        <v>ΡΟΥΣΣΗ</v>
      </c>
      <c r="M13" s="145"/>
      <c r="N13" s="171"/>
      <c r="O13" s="129"/>
      <c r="P13" s="158"/>
      <c r="R13" s="146"/>
    </row>
    <row r="14" spans="1:19" x14ac:dyDescent="0.2">
      <c r="A14" s="310"/>
      <c r="B14" s="254"/>
      <c r="C14" s="274"/>
      <c r="D14" s="256"/>
      <c r="E14" s="275"/>
      <c r="F14" s="312"/>
      <c r="G14" s="154">
        <f>IF([7]Setup!$B$24="#",0,IF(F13&gt;0,VLOOKUP(F13,[7]DrawPrep!$A$3:$I$18,7,FALSE),0))</f>
        <v>22</v>
      </c>
      <c r="H14" s="144" t="str">
        <f>IF(G14&gt;0,VLOOKUP(G14,[7]DrawPrep!$G$3:$I$18,2,FALSE)," ")</f>
        <v>ΚΟΡΑΚΑΣ ΤΑΣΟΣ</v>
      </c>
      <c r="I14" s="246" t="str">
        <f t="shared" si="0"/>
        <v>ΚΟΡΑΚΑΣ</v>
      </c>
      <c r="J14" s="156">
        <f>IF($G14&gt;0,VLOOKUP($G14,[7]DrawPrep!$G$3:$I$18,3,FALSE),"")</f>
        <v>0</v>
      </c>
      <c r="K14" s="224">
        <v>1</v>
      </c>
      <c r="L14" s="217" t="str">
        <f>UPPER(IF($A$2="R",IF(OR(K14=1,K14="a"),G14,IF(OR(K14=2,K14="b"),G16,"")),IF(OR(K14=1,K14="1"),I14,IF(OR(K14=2,K14="b"),I16,""))))</f>
        <v>ΚΟΡΑΚΑΣ</v>
      </c>
      <c r="M14" s="145"/>
      <c r="N14" s="171"/>
      <c r="O14" s="145"/>
      <c r="P14" s="171"/>
      <c r="R14" s="146"/>
    </row>
    <row r="15" spans="1:19" x14ac:dyDescent="0.2">
      <c r="A15" s="309">
        <v>6</v>
      </c>
      <c r="B15" s="248">
        <f>5-D15+4</f>
        <v>7</v>
      </c>
      <c r="C15" s="249">
        <v>5</v>
      </c>
      <c r="D15" s="250">
        <f>D13+E15</f>
        <v>2</v>
      </c>
      <c r="E15" s="251">
        <f>IF($B$2&gt;=C15,1,0)</f>
        <v>1</v>
      </c>
      <c r="F15" s="311" t="str">
        <f>IF($B$2&gt;=C15,"-",VLOOKUP($B15,[7]Setup!$G$12:$H$27,2,FALSE))</f>
        <v>-</v>
      </c>
      <c r="G15" s="139">
        <f>IF([7]Setup!$B$24="#",0,IF(NOT(F15="-"),VLOOKUP(F15,[7]DrawPrep!$A$3:$I$18,3,FALSE),0))</f>
        <v>0</v>
      </c>
      <c r="H15" s="252" t="str">
        <f>IF(G15&gt;0,VLOOKUP(G15,[7]DrawPrep!$C$3:$G$18,2,FALSE),"bye")</f>
        <v>bye</v>
      </c>
      <c r="I15" s="238" t="str">
        <f t="shared" si="0"/>
        <v/>
      </c>
      <c r="J15" s="253" t="str">
        <f>IF($G15&gt;0,VLOOKUP($G15,[7]DrawPrep!$C$3:$G$18,3,FALSE),"")</f>
        <v/>
      </c>
      <c r="K15" s="157"/>
      <c r="L15" s="158"/>
      <c r="M15" s="114"/>
      <c r="N15" s="217" t="str">
        <f>UPPER(IF($A$2="R",IF(OR(M16=1,M16="a"),L13,IF(OR(M16=2,M15="b"),L17,"")),IF(OR(M16=1,M16="a"),L13,IF(OR(M16=2,M16="b"),L17,""))))</f>
        <v/>
      </c>
      <c r="O15" s="176"/>
      <c r="P15" s="171"/>
      <c r="R15" s="146"/>
    </row>
    <row r="16" spans="1:19" x14ac:dyDescent="0.2">
      <c r="A16" s="310"/>
      <c r="B16" s="254"/>
      <c r="C16" s="255"/>
      <c r="D16" s="256"/>
      <c r="E16" s="257"/>
      <c r="F16" s="312"/>
      <c r="G16" s="154">
        <f>IF([7]Setup!$B$24="#",0,IF(NOT(F15="-"),VLOOKUP(F15,[7]DrawPrep!$A$3:$I$18,7,FALSE),0))</f>
        <v>0</v>
      </c>
      <c r="H16" s="144" t="str">
        <f>IF(G16&gt;0,VLOOKUP(G16,[7]DrawPrep!$G$3:$I$18,2,FALSE)," ")</f>
        <v xml:space="preserve"> </v>
      </c>
      <c r="I16" s="246" t="str">
        <f t="shared" si="0"/>
        <v/>
      </c>
      <c r="J16" s="156" t="str">
        <f>IF($G16&gt;0,VLOOKUP($G16,[7]DrawPrep!$G$3:$I$18,3,FALSE),"")</f>
        <v/>
      </c>
      <c r="K16" s="129"/>
      <c r="L16" s="171"/>
      <c r="M16" s="172"/>
      <c r="N16" s="217" t="str">
        <f>UPPER(IF($A$2="R",IF(OR(M16=1,M16="a"),L14,IF(OR(M16=2,M16="b"),L18,"")),IF(OR(M16=1,M16="a"),L14,IF(OR(M16=2,M16="b"),L18,""))))</f>
        <v/>
      </c>
      <c r="O16" s="176"/>
      <c r="P16" s="171"/>
      <c r="R16" s="146"/>
    </row>
    <row r="17" spans="1:18" x14ac:dyDescent="0.2">
      <c r="A17" s="325">
        <v>7</v>
      </c>
      <c r="B17" s="326">
        <f>6-D17+4</f>
        <v>7</v>
      </c>
      <c r="C17" s="326">
        <f>VALUE([7]Setup!E2)</f>
        <v>4</v>
      </c>
      <c r="D17" s="328">
        <f>D15+E17</f>
        <v>3</v>
      </c>
      <c r="E17" s="328">
        <f>IF($B$2&gt;=C17,1,0)</f>
        <v>1</v>
      </c>
      <c r="F17" s="329" t="str">
        <f>IF($B$2&gt;=C17,"-",VLOOKUP($B17,[7]Setup!$G$12:$H$27,2,FALSE))</f>
        <v>-</v>
      </c>
      <c r="G17" s="330">
        <f>IF([7]Setup!$B$24="#",0,IF(NOT(F17="-"),VLOOKUP(F17,[7]DrawPrep!$A$3:$I$18,3,FALSE),0))</f>
        <v>0</v>
      </c>
      <c r="H17" s="331" t="str">
        <f>IF(G17&gt;0,VLOOKUP(G17,[7]DrawPrep!$C$3:$G$18,2,FALSE),"bye")</f>
        <v>bye</v>
      </c>
      <c r="I17" s="332" t="str">
        <f t="shared" si="0"/>
        <v/>
      </c>
      <c r="J17" s="333" t="str">
        <f>IF($G17&gt;0,VLOOKUP($G17,[7]DrawPrep!$C$3:$G$18,3,FALSE),"")</f>
        <v/>
      </c>
      <c r="K17" s="114"/>
      <c r="L17" s="217" t="str">
        <f>UPPER(IF($A$2="R",IF(OR(K18=1,K18="a"),G17,IF(OR(K18=2,K18="b"),G19,"")),IF(OR(K18=1,K18="1"),I17,IF(OR(K18=2,K18="b"),I19,""))))</f>
        <v>ΝΙΚΟΛΟΠΟΥΛΟΥ</v>
      </c>
      <c r="M17" s="191"/>
      <c r="N17" s="178"/>
      <c r="O17" s="145"/>
      <c r="P17" s="171"/>
      <c r="R17" s="146"/>
    </row>
    <row r="18" spans="1:18" x14ac:dyDescent="0.2">
      <c r="A18" s="334"/>
      <c r="B18" s="335"/>
      <c r="C18" s="336"/>
      <c r="D18" s="337"/>
      <c r="E18" s="337"/>
      <c r="F18" s="338"/>
      <c r="G18" s="339">
        <f>IF(NOT(F17="-"),VLOOKUP(F17,[7]DrawPrep!$A$3:$I$18,7,FALSE),0)</f>
        <v>0</v>
      </c>
      <c r="H18" s="340" t="str">
        <f>IF(G18&gt;0,VLOOKUP(G18,[7]DrawPrep!$G$3:$I$18,2,FALSE)," ")</f>
        <v xml:space="preserve"> </v>
      </c>
      <c r="I18" s="341" t="str">
        <f t="shared" si="0"/>
        <v/>
      </c>
      <c r="J18" s="342" t="str">
        <f>IF($G18&gt;0,VLOOKUP($G18,[7]DrawPrep!$G$3:$I$18,3,FALSE),"")</f>
        <v/>
      </c>
      <c r="K18" s="172">
        <v>2</v>
      </c>
      <c r="L18" s="156" t="str">
        <f>UPPER(IF($A$2="R",IF(OR(K18=1,K18="a"),G18,IF(OR(K18=2,K18="b"),G20,"")),IF(OR(K18=1,K18="1"),I18,IF(OR(K18=2,K18="b"),I20,""))))</f>
        <v>ΚΟΚΚΟΤΑΣ</v>
      </c>
      <c r="M18" s="129"/>
      <c r="N18" s="146"/>
      <c r="O18" s="145"/>
      <c r="P18" s="171"/>
      <c r="R18" s="146"/>
    </row>
    <row r="19" spans="1:18" x14ac:dyDescent="0.2">
      <c r="A19" s="325">
        <v>8</v>
      </c>
      <c r="B19" s="326">
        <f>VALUE([7]Setup!E2)</f>
        <v>4</v>
      </c>
      <c r="C19" s="327"/>
      <c r="D19" s="328">
        <f>D17+E19</f>
        <v>3</v>
      </c>
      <c r="E19" s="328">
        <v>0</v>
      </c>
      <c r="F19" s="343">
        <f>VLOOKUP($B19,[7]Setup!$G$12:$H$27,2,FALSE)</f>
        <v>4</v>
      </c>
      <c r="G19" s="344">
        <f>IF([7]Setup!$B$24="#",0,IF(F19&gt;0,VLOOKUP(F19,[7]DrawPrep!$A$3:$I$18,3,FALSE),0))</f>
        <v>4</v>
      </c>
      <c r="H19" s="345" t="str">
        <f>IF(G19&gt;0,VLOOKUP(G19,[7]DrawPrep!$C$3:$G$18,2,FALSE),"bye")</f>
        <v>ΝΙΚΟΛΟΠΟΥΛΟΥ ΝΑΤΑΛΙΑ</v>
      </c>
      <c r="I19" s="332" t="str">
        <f t="shared" si="0"/>
        <v>ΝΙΚΟΛΟΠΟΥΛΟΥ</v>
      </c>
      <c r="J19" s="346">
        <f>IF($G19&gt;0,VLOOKUP($G19,[7]DrawPrep!$C$3:$G$18,3,FALSE),"")</f>
        <v>0</v>
      </c>
      <c r="K19" s="129"/>
      <c r="L19" s="146"/>
      <c r="N19" s="146"/>
      <c r="O19" s="129"/>
      <c r="P19" s="286" t="str">
        <f>UPPER(IF($A$2="R",IF(OR(O20=1,O20="a"),P11,IF(OR(O20=2,O20="b"),P27,"")),IF(OR(O20=1,O20="a"),P11,IF(OR(O20=2,O20="b"),P27,""))))</f>
        <v/>
      </c>
    </row>
    <row r="20" spans="1:18" x14ac:dyDescent="0.2">
      <c r="A20" s="334"/>
      <c r="B20" s="335"/>
      <c r="C20" s="336"/>
      <c r="D20" s="337"/>
      <c r="E20" s="337"/>
      <c r="F20" s="347"/>
      <c r="G20" s="348">
        <f>IF([7]Setup!$B$24="#",0,IF(F19&gt;0,VLOOKUP(F19,[7]DrawPrep!$A$3:$I$18,7,FALSE),0))</f>
        <v>15</v>
      </c>
      <c r="H20" s="349" t="str">
        <f>IF(G20&gt;0,VLOOKUP(G20,[7]DrawPrep!$G$3:$I$18,2,FALSE)," ")</f>
        <v>ΚΟΚΚΟΤΑΣ ΝΙΚΟΣ</v>
      </c>
      <c r="I20" s="341" t="str">
        <f t="shared" si="0"/>
        <v>ΚΟΚΚΟΤΑΣ</v>
      </c>
      <c r="J20" s="350">
        <f>IF($G20&gt;0,VLOOKUP($G20,[7]DrawPrep!$G$3:$I$18,3,FALSE),"")</f>
        <v>0</v>
      </c>
      <c r="K20" s="129"/>
      <c r="L20" s="146"/>
      <c r="N20" s="146"/>
      <c r="O20" s="172"/>
      <c r="P20" s="286" t="str">
        <f>UPPER(IF($A$2="R",IF(OR(O20=1,O20="a"),P12,IF(OR(O20=2,O20="b"),P28,"")),IF(OR(O20=1,O20="a"),P12,IF(OR(O20=2,O20="b"),P28,""))))</f>
        <v/>
      </c>
    </row>
    <row r="21" spans="1:18" x14ac:dyDescent="0.2">
      <c r="A21" s="309">
        <v>9</v>
      </c>
      <c r="B21" s="282">
        <f>VALUE([7]Setup!E3)</f>
        <v>3</v>
      </c>
      <c r="C21" s="272"/>
      <c r="D21" s="250">
        <f>D19+E21</f>
        <v>3</v>
      </c>
      <c r="E21" s="273">
        <v>0</v>
      </c>
      <c r="F21" s="321">
        <f>VLOOKUP($B21,[7]Setup!$G$12:$H$27,2,FALSE)</f>
        <v>3</v>
      </c>
      <c r="G21" s="140">
        <f>IF([7]Setup!$B$24="#",0,IF(F21&gt;0,VLOOKUP(F21,[7]DrawPrep!$A$3:$I$18,3,FALSE),0))</f>
        <v>3</v>
      </c>
      <c r="H21" s="237" t="str">
        <f>IF(G21&gt;0,VLOOKUP(G21,[7]DrawPrep!$C$3:$G$18,2,FALSE),"bye")</f>
        <v>ΣΤΕΦΑΝΟΥ ΑΓΝΗ</v>
      </c>
      <c r="I21" s="238" t="str">
        <f t="shared" si="0"/>
        <v>ΣΤΕΦΑΝΟΥ</v>
      </c>
      <c r="J21" s="142">
        <f>IF($G21&gt;0,VLOOKUP($G21,[7]DrawPrep!$C$3:$G$18,3,FALSE),"")</f>
        <v>0</v>
      </c>
      <c r="K21" s="114"/>
      <c r="L21" s="217" t="str">
        <f>UPPER(IF($A$2="R",IF(OR(K22=1,K22="a"),G21,IF(OR(K22=2,K22="b"),G23,"")),IF(OR(K22=1,K22="1"),I21,IF(OR(K22=2,K22="b"),I23,""))))</f>
        <v>ΣΤΕΦΑΝΟΥ</v>
      </c>
      <c r="M21" s="145"/>
      <c r="N21" s="146"/>
      <c r="O21" s="145"/>
      <c r="P21" s="293"/>
    </row>
    <row r="22" spans="1:18" x14ac:dyDescent="0.2">
      <c r="A22" s="310"/>
      <c r="B22" s="283"/>
      <c r="C22" s="274"/>
      <c r="D22" s="256"/>
      <c r="E22" s="275"/>
      <c r="F22" s="322"/>
      <c r="G22" s="244">
        <f>IF([7]Setup!$B$24="#",0,IF(F21&gt;0,VLOOKUP(F21,[7]DrawPrep!$A$3:$I$18,7,FALSE),0))</f>
        <v>14</v>
      </c>
      <c r="H22" s="245" t="str">
        <f>IF(G22&gt;0,VLOOKUP(G22,[7]DrawPrep!$G$3:$I$18,2,FALSE)," ")</f>
        <v>ΓΛΕΖΟΣ ΜΑΝΩΛΗΣ</v>
      </c>
      <c r="I22" s="246" t="str">
        <f t="shared" si="0"/>
        <v>ΓΛΕΖΟΣ</v>
      </c>
      <c r="J22" s="284">
        <f>IF($G22&gt;0,VLOOKUP($G22,[7]DrawPrep!$G$3:$I$18,3,FALSE),"")</f>
        <v>0</v>
      </c>
      <c r="K22" s="172">
        <v>1</v>
      </c>
      <c r="L22" s="217" t="str">
        <f>UPPER(IF($A$2="R",IF(OR(K22=1,K22="a"),G22,IF(OR(K22=2,K22="b"),G24,"")),IF(OR(K22=1,K22="1"),I22,IF(OR(K22=2,K22="b"),I24,""))))</f>
        <v>ΓΛΕΖΟΣ</v>
      </c>
      <c r="M22" s="145"/>
      <c r="N22" s="146"/>
      <c r="P22" s="171"/>
      <c r="R22" s="146"/>
    </row>
    <row r="23" spans="1:18" x14ac:dyDescent="0.2">
      <c r="A23" s="309">
        <v>10</v>
      </c>
      <c r="B23" s="248">
        <f>7-D23+4</f>
        <v>7</v>
      </c>
      <c r="C23" s="282">
        <f>VALUE([7]Setup!E3)</f>
        <v>3</v>
      </c>
      <c r="D23" s="250">
        <f>D21+E23</f>
        <v>4</v>
      </c>
      <c r="E23" s="251">
        <f>IF($B$2&gt;=C23,1,0)</f>
        <v>1</v>
      </c>
      <c r="F23" s="311" t="str">
        <f>IF($B$2&gt;=C23,"-",VLOOKUP($B23,[7]Setup!$G$12:$H$27,2,FALSE))</f>
        <v>-</v>
      </c>
      <c r="G23" s="139">
        <f>IF([7]Setup!$B$24="#",0,IF(NOT(F23="-"),VLOOKUP(F23,[7]DrawPrep!$A$3:$I$18,3,FALSE),0))</f>
        <v>0</v>
      </c>
      <c r="H23" s="252" t="str">
        <f>IF(G23&gt;0,VLOOKUP(G23,[7]DrawPrep!$C$3:$G$18,2,FALSE),"bye")</f>
        <v>bye</v>
      </c>
      <c r="I23" s="238" t="str">
        <f t="shared" si="0"/>
        <v/>
      </c>
      <c r="J23" s="253" t="str">
        <f>IF($G23&gt;0,VLOOKUP($G23,[7]DrawPrep!$C$3:$G$18,3,FALSE),"")</f>
        <v/>
      </c>
      <c r="K23" s="129"/>
      <c r="L23" s="158"/>
      <c r="M23" s="114"/>
      <c r="N23" s="217" t="str">
        <f>UPPER(IF($A$2="R",IF(OR(M24=1,M24="a"),L21,IF(OR(M24=2,M23="b"),L25,"")),IF(OR(M24=1,M24="a"),L21,IF(OR(M24=2,M24="b"),L25,""))))</f>
        <v/>
      </c>
      <c r="O23" s="145"/>
      <c r="P23" s="171"/>
      <c r="R23" s="146"/>
    </row>
    <row r="24" spans="1:18" x14ac:dyDescent="0.2">
      <c r="A24" s="310"/>
      <c r="B24" s="254"/>
      <c r="C24" s="285"/>
      <c r="D24" s="256"/>
      <c r="E24" s="257"/>
      <c r="F24" s="312"/>
      <c r="G24" s="154">
        <f>IF([7]Setup!$B$24="#",0,IF(NOT(F23="-"),VLOOKUP(F23,[7]DrawPrep!$A$3:$I$18,7,FALSE),0))</f>
        <v>0</v>
      </c>
      <c r="H24" s="144" t="str">
        <f>IF(G24&gt;0,VLOOKUP(G24,[7]DrawPrep!$G$3:$I$18,2,FALSE)," ")</f>
        <v xml:space="preserve"> </v>
      </c>
      <c r="I24" s="246" t="str">
        <f t="shared" si="0"/>
        <v/>
      </c>
      <c r="J24" s="156" t="str">
        <f>IF($G24&gt;0,VLOOKUP($G24,[7]DrawPrep!$G$3:$I$18,3,FALSE),"")</f>
        <v/>
      </c>
      <c r="K24" s="129"/>
      <c r="L24" s="171"/>
      <c r="M24" s="143"/>
      <c r="N24" s="217" t="str">
        <f>UPPER(IF($A$2="R",IF(OR(M24=1,M24="a"),L22,IF(OR(M24=2,M24="b"),L26,"")),IF(OR(M24=1,M24="a"),L22,IF(OR(M24=2,M24="b"),L26,""))))</f>
        <v/>
      </c>
      <c r="O24" s="145"/>
      <c r="P24" s="171"/>
      <c r="R24" s="146"/>
    </row>
    <row r="25" spans="1:18" x14ac:dyDescent="0.2">
      <c r="A25" s="325">
        <v>11</v>
      </c>
      <c r="B25" s="326">
        <f>8-D25+4</f>
        <v>8</v>
      </c>
      <c r="C25" s="327"/>
      <c r="D25" s="328">
        <f>D23+E25</f>
        <v>4</v>
      </c>
      <c r="E25" s="328">
        <v>0</v>
      </c>
      <c r="F25" s="329">
        <f>VLOOKUP($B25,[7]Setup!$G$12:$H$27,2,FALSE)</f>
        <v>9</v>
      </c>
      <c r="G25" s="330">
        <f>IF([7]Setup!$B$24="#",0,IF(F25&gt;0,VLOOKUP(F25,[7]DrawPrep!$A$3:$I$18,3,FALSE),0))</f>
        <v>10</v>
      </c>
      <c r="H25" s="331" t="str">
        <f>IF(G25&gt;0,VLOOKUP(G25,[7]DrawPrep!$C$3:$G$18,2,FALSE),"bye")</f>
        <v>ΠΑΠΑΔΗΜΗΤΡΙΟΥ ΕΥΑ</v>
      </c>
      <c r="I25" s="332" t="str">
        <f t="shared" si="0"/>
        <v>ΠΑΠΑΔΗΜΗΤΡΙΟΥ</v>
      </c>
      <c r="J25" s="333">
        <f>IF($G25&gt;0,VLOOKUP($G25,[7]DrawPrep!$C$3:$G$18,3,FALSE),"")</f>
        <v>0</v>
      </c>
      <c r="K25" s="114"/>
      <c r="L25" s="217" t="str">
        <f>UPPER(IF($A$2="R",IF(OR(K26=1,K26="a"),G25,IF(OR(K26=2,K26="b"),G27,"")),IF(OR(K26=1,K26="1"),I25,IF(OR(K26=2,K26="b"),I27,""))))</f>
        <v/>
      </c>
      <c r="M25" s="191"/>
      <c r="N25" s="158"/>
      <c r="O25" s="145"/>
      <c r="P25" s="171"/>
      <c r="R25" s="146"/>
    </row>
    <row r="26" spans="1:18" x14ac:dyDescent="0.2">
      <c r="A26" s="334"/>
      <c r="B26" s="335"/>
      <c r="C26" s="336"/>
      <c r="D26" s="337"/>
      <c r="E26" s="337"/>
      <c r="F26" s="338"/>
      <c r="G26" s="339">
        <f>IF([7]Setup!$B$24="#",0,IF(F25&gt;0,VLOOKUP(F25,[7]DrawPrep!$A$3:$I$18,7,FALSE),0))</f>
        <v>21</v>
      </c>
      <c r="H26" s="340" t="str">
        <f>IF(G26&gt;0,VLOOKUP(G26,[7]DrawPrep!$G$3:$I$18,2,FALSE)," ")</f>
        <v>ΨΑΡΟΓΙΑΝΝΗΣ ΘΕΜΗΣ</v>
      </c>
      <c r="I26" s="341" t="str">
        <f t="shared" si="0"/>
        <v>ΨΑΡΟΓΙΑΝΝΗΣ</v>
      </c>
      <c r="J26" s="342">
        <f>IF($G26&gt;0,VLOOKUP($G26,[7]DrawPrep!$G$3:$I$18,3,FALSE),"")</f>
        <v>0</v>
      </c>
      <c r="K26" s="172"/>
      <c r="L26" s="156" t="str">
        <f>UPPER(IF($A$2="R",IF(OR(K26=1,K26="a"),G26,IF(OR(K26=2,K26="b"),G28,"")),IF(OR(K26=1,K26="1"),I26,IF(OR(K26=2,K26="b"),I28,""))))</f>
        <v/>
      </c>
      <c r="M26" s="191"/>
      <c r="N26" s="171"/>
      <c r="O26" s="145"/>
      <c r="P26" s="171"/>
      <c r="R26" s="146"/>
    </row>
    <row r="27" spans="1:18" x14ac:dyDescent="0.2">
      <c r="A27" s="325">
        <v>12</v>
      </c>
      <c r="B27" s="326">
        <f>9-D27+4</f>
        <v>9</v>
      </c>
      <c r="C27" s="327">
        <v>6</v>
      </c>
      <c r="D27" s="328">
        <f>D25+E27</f>
        <v>4</v>
      </c>
      <c r="E27" s="328">
        <f>IF($B$2&gt;=C27,1,0)</f>
        <v>0</v>
      </c>
      <c r="F27" s="329">
        <v>8</v>
      </c>
      <c r="G27" s="330">
        <f>IF([7]Setup!$B$24="#",0,IF(NOT(F27="-"),VLOOKUP(F27,[7]DrawPrep!$A$3:$I$18,3,FALSE),0))</f>
        <v>8</v>
      </c>
      <c r="H27" s="331" t="str">
        <f>IF(G27&gt;0,VLOOKUP(G27,[7]DrawPrep!$C$3:$G$18,2,FALSE),"bye")</f>
        <v>ΤΣΕΛΟΥ ΝΑΣΙΑ</v>
      </c>
      <c r="I27" s="332" t="str">
        <f t="shared" si="0"/>
        <v>ΤΣΕΛΟΥ</v>
      </c>
      <c r="J27" s="333">
        <f>IF($G27&gt;0,VLOOKUP($G27,[7]DrawPrep!$C$3:$G$18,3,FALSE),"")</f>
        <v>0</v>
      </c>
      <c r="K27" s="129"/>
      <c r="L27" s="146"/>
      <c r="M27" s="145"/>
      <c r="N27" s="171"/>
      <c r="O27" s="114"/>
      <c r="P27" s="188" t="str">
        <f>UPPER(IF($A$2="R",IF(OR(O28=1,O28="a"),N23,IF(OR(O28=2,O28="b"),N31,"")),IF(OR(O28=1,O28="a"),N23,IF(OR(O28=2,O28="b"),N31,""))))</f>
        <v/>
      </c>
      <c r="R27" s="146"/>
    </row>
    <row r="28" spans="1:18" x14ac:dyDescent="0.2">
      <c r="A28" s="334"/>
      <c r="B28" s="335"/>
      <c r="C28" s="336"/>
      <c r="D28" s="337"/>
      <c r="E28" s="337"/>
      <c r="F28" s="338"/>
      <c r="G28" s="339">
        <f>IF([7]Setup!$B$24="#",0,IF(NOT(F27="-"),VLOOKUP(F27,[7]DrawPrep!$A$3:$I$18,7,FALSE),0))</f>
        <v>19</v>
      </c>
      <c r="H28" s="340" t="str">
        <f>IF(G28&gt;0,VLOOKUP(G28,[7]DrawPrep!$G$3:$I$18,2,FALSE)," ")</f>
        <v>ΠΑΠΑΪΩΑΝΝΟΥ ΓΙΑΝΝΗΣ</v>
      </c>
      <c r="I28" s="341" t="str">
        <f t="shared" si="0"/>
        <v>ΠΑΠΑΪΩΑΝΝΟΥ</v>
      </c>
      <c r="J28" s="342">
        <f>IF($G28&gt;0,VLOOKUP($G28,[7]DrawPrep!$G$3:$I$18,3,FALSE),"")</f>
        <v>0</v>
      </c>
      <c r="K28" s="129"/>
      <c r="L28" s="118"/>
      <c r="M28" s="145"/>
      <c r="N28" s="171"/>
      <c r="O28" s="172"/>
      <c r="P28" s="156" t="str">
        <f>UPPER(IF($A$2="R",IF(OR(O28=1,O28="a"),N24,IF(OR(O28=2,O28="b"),N32,"")),IF(OR(O28=1,O28="a"),N24,IF(OR(O28=2,O28="b"),N32,""))))</f>
        <v/>
      </c>
      <c r="R28" s="146"/>
    </row>
    <row r="29" spans="1:18" x14ac:dyDescent="0.2">
      <c r="A29" s="309">
        <v>13</v>
      </c>
      <c r="B29" s="248">
        <f>10-D29+4</f>
        <v>10</v>
      </c>
      <c r="C29" s="272"/>
      <c r="D29" s="250">
        <f>D27+E29</f>
        <v>4</v>
      </c>
      <c r="E29" s="273">
        <v>0</v>
      </c>
      <c r="F29" s="311">
        <f>VLOOKUP($B29,[7]Setup!$G$12:$H$27,2,FALSE)</f>
        <v>11</v>
      </c>
      <c r="G29" s="139">
        <f>IF([7]Setup!$B$24="#",0,IF(F29&gt;0,VLOOKUP(F29,[7]DrawPrep!$A$3:$I$18,3,FALSE),0))</f>
        <v>9</v>
      </c>
      <c r="H29" s="252" t="str">
        <f>IF(G29&gt;0,VLOOKUP(G29,[7]DrawPrep!$C$3:$G$18,2,FALSE),"bye")</f>
        <v>MΑΡΓΑΡΙΤΗ ΣΥΛΒΙΑ</v>
      </c>
      <c r="I29" s="238" t="str">
        <f t="shared" si="0"/>
        <v>MΑΡΓΑΡΙΤΗ</v>
      </c>
      <c r="J29" s="253">
        <f>IF($G29&gt;0,VLOOKUP($G29,[7]DrawPrep!$C$3:$G$18,3,FALSE),"")</f>
        <v>0</v>
      </c>
      <c r="K29" s="114"/>
      <c r="L29" s="217" t="str">
        <f>UPPER(IF($A$2="R",IF(OR(K30=1,K30="a"),G29,IF(OR(K30=2,K30="b"),G31,"")),IF(OR(K30=1,K30="1"),I29,IF(OR(K30=2,K30="b"),I31,""))))</f>
        <v/>
      </c>
      <c r="M29" s="145"/>
      <c r="N29" s="171"/>
      <c r="O29" s="129"/>
      <c r="P29" s="178"/>
      <c r="R29" s="146"/>
    </row>
    <row r="30" spans="1:18" x14ac:dyDescent="0.2">
      <c r="A30" s="310"/>
      <c r="B30" s="254"/>
      <c r="C30" s="274"/>
      <c r="D30" s="256"/>
      <c r="E30" s="275"/>
      <c r="F30" s="312"/>
      <c r="G30" s="154">
        <f>IF([7]Setup!$B$24="#",0,IF(F29&gt;0,VLOOKUP(F29,[7]DrawPrep!$A$3:$I$18,7,FALSE),0))</f>
        <v>20</v>
      </c>
      <c r="H30" s="144" t="str">
        <f>IF(G30&gt;0,VLOOKUP(G30,[7]DrawPrep!$G$3:$I$18,2,FALSE)," ")</f>
        <v>ΔΕΣΠΟΤΑΚΗΣ ΜΑΡΚΟΣ</v>
      </c>
      <c r="I30" s="246" t="str">
        <f t="shared" si="0"/>
        <v>ΔΕΣΠΟΤΑΚΗΣ</v>
      </c>
      <c r="J30" s="156">
        <f>IF($G30&gt;0,VLOOKUP($G30,[7]DrawPrep!$G$3:$I$18,3,FALSE),"")</f>
        <v>0</v>
      </c>
      <c r="K30" s="224"/>
      <c r="L30" s="217" t="str">
        <f>UPPER(IF($A$2="R",IF(OR(K30=1,K30="a"),G30,IF(OR(K30=2,K30="b"),G32,"")),IF(OR(K30=1,K30="1"),I30,IF(OR(K30=2,K30="b"),I32,""))))</f>
        <v/>
      </c>
      <c r="M30" s="145"/>
      <c r="N30" s="171"/>
      <c r="O30" s="145"/>
      <c r="P30" s="146"/>
      <c r="R30" s="146"/>
    </row>
    <row r="31" spans="1:18" x14ac:dyDescent="0.2">
      <c r="A31" s="309">
        <v>14</v>
      </c>
      <c r="B31" s="248">
        <f>11-D31+4</f>
        <v>11</v>
      </c>
      <c r="C31" s="249">
        <v>8</v>
      </c>
      <c r="D31" s="250">
        <f>D29+E31</f>
        <v>4</v>
      </c>
      <c r="E31" s="251">
        <f>IF($B$2&gt;=C31,1,0)</f>
        <v>0</v>
      </c>
      <c r="F31" s="311">
        <v>5</v>
      </c>
      <c r="G31" s="139">
        <f>IF([7]Setup!$B$24="#",0,IF(NOT(F31="-"),VLOOKUP(F31,[7]DrawPrep!$A$3:$I$18,3,FALSE),0))</f>
        <v>5</v>
      </c>
      <c r="H31" s="252" t="str">
        <f>IF(G31&gt;0,VLOOKUP(G31,[7]DrawPrep!$C$3:$G$18,2,FALSE),"bye")</f>
        <v>ΚΑΠΛΑΝΗ ΜΙΝΑ</v>
      </c>
      <c r="I31" s="238" t="str">
        <f t="shared" si="0"/>
        <v>ΚΑΠΛΑΝΗ</v>
      </c>
      <c r="J31" s="253">
        <f>IF($G31&gt;0,VLOOKUP($G31,[7]DrawPrep!$C$3:$G$18,3,FALSE),"")</f>
        <v>0</v>
      </c>
      <c r="K31" s="157"/>
      <c r="L31" s="158"/>
      <c r="M31" s="114"/>
      <c r="N31" s="188" t="str">
        <f>UPPER(IF($A$2="R",IF(OR(M32=1,M32="a"),L29,IF(OR(M32=2,M31="b"),L33,"")),IF(OR(M32=1,M32="a"),L29,IF(OR(M32=2,M32="b"),L33,""))))</f>
        <v/>
      </c>
      <c r="O31" s="145"/>
      <c r="P31" s="146"/>
      <c r="R31" s="146"/>
    </row>
    <row r="32" spans="1:18" x14ac:dyDescent="0.2">
      <c r="A32" s="310"/>
      <c r="B32" s="254"/>
      <c r="C32" s="255"/>
      <c r="D32" s="256"/>
      <c r="E32" s="257"/>
      <c r="F32" s="312"/>
      <c r="G32" s="154">
        <f>IF([7]Setup!$B$24="#",0,IF(NOT(F31="-"),VLOOKUP(F31,[7]DrawPrep!$A$3:$I$18,7,FALSE),0))</f>
        <v>16</v>
      </c>
      <c r="H32" s="144" t="str">
        <f>IF(G32&gt;0,VLOOKUP(G32,[7]DrawPrep!$G$3:$I$18,2,FALSE)," ")</f>
        <v>ΠΑΠΑΧΡΙΣΤΟΠΟΥΛΟΣ ΦΙΛΙΠΠΟΣ</v>
      </c>
      <c r="I32" s="246" t="str">
        <f t="shared" si="0"/>
        <v>ΠΑΠΑΧΡΙΣΤΟΠΟΥΛΟΣ</v>
      </c>
      <c r="J32" s="156">
        <f>IF($G32&gt;0,VLOOKUP($G32,[7]DrawPrep!$G$3:$I$18,3,FALSE),"")</f>
        <v>0</v>
      </c>
      <c r="K32" s="129"/>
      <c r="L32" s="171"/>
      <c r="M32" s="172"/>
      <c r="N32" s="156" t="str">
        <f>UPPER(IF($A$2="R",IF(OR(M32=1,M32="a"),L30,IF(OR(M32=2,M32="b"),L34,"")),IF(OR(M32=1,M32="a"),L30,IF(OR(M32=2,M32="b"),L34,""))))</f>
        <v/>
      </c>
      <c r="O32" s="145"/>
      <c r="P32" s="146"/>
      <c r="R32" s="146"/>
    </row>
    <row r="33" spans="1:18" x14ac:dyDescent="0.2">
      <c r="A33" s="325">
        <v>15</v>
      </c>
      <c r="B33" s="326">
        <f>12-D33+4</f>
        <v>11</v>
      </c>
      <c r="C33" s="327">
        <v>2</v>
      </c>
      <c r="D33" s="328">
        <f>D31+E33</f>
        <v>5</v>
      </c>
      <c r="E33" s="328">
        <f>IF($B$2&gt;=C33,1,0)</f>
        <v>1</v>
      </c>
      <c r="F33" s="329" t="str">
        <f>IF($B$2&gt;=C33,"-",VLOOKUP($B33,[7]Setup!$G$12:$H$27,2,FALSE))</f>
        <v>-</v>
      </c>
      <c r="G33" s="330">
        <f>IF([7]Setup!$B$24="#",0,IF(NOT(F33="-"),VLOOKUP(F33,[7]DrawPrep!$A$3:$I$18,3,FALSE),0))</f>
        <v>0</v>
      </c>
      <c r="H33" s="331" t="str">
        <f>IF(G33&gt;0,VLOOKUP(G33,[7]DrawPrep!$C$3:$G$18,2,FALSE),"bye")</f>
        <v>bye</v>
      </c>
      <c r="I33" s="332" t="str">
        <f t="shared" si="0"/>
        <v/>
      </c>
      <c r="J33" s="333" t="str">
        <f>IF($G33&gt;0,VLOOKUP($G33,[7]DrawPrep!$C$3:$G$18,3,FALSE),"")</f>
        <v/>
      </c>
      <c r="K33" s="114"/>
      <c r="L33" s="217" t="str">
        <f>UPPER(IF($A$2="R",IF(OR(K34=1,K34="a"),G33,IF(OR(K34=2,K34="b"),G35,"")),IF(OR(K34=1,K34="1"),I33,IF(OR(K34=2,K34="b"),I35,""))))</f>
        <v>ΑΝΤΩΝΑΚΗ</v>
      </c>
      <c r="M33" s="191"/>
      <c r="N33" s="146"/>
      <c r="O33" s="145"/>
      <c r="P33" s="146"/>
      <c r="R33" s="146"/>
    </row>
    <row r="34" spans="1:18" x14ac:dyDescent="0.2">
      <c r="A34" s="334"/>
      <c r="B34" s="335"/>
      <c r="C34" s="336"/>
      <c r="D34" s="337"/>
      <c r="E34" s="337"/>
      <c r="F34" s="338"/>
      <c r="G34" s="339">
        <f>IF([7]Setup!$B$24="#",0,IF(NOT(F33="-"),VLOOKUP(F33,[7]DrawPrep!$A$3:$I$18,7,FALSE),0))</f>
        <v>0</v>
      </c>
      <c r="H34" s="340" t="str">
        <f>IF(G34&gt;0,VLOOKUP(G34,[7]DrawPrep!$G$3:$I$18,2,FALSE)," ")</f>
        <v xml:space="preserve"> </v>
      </c>
      <c r="I34" s="341" t="str">
        <f t="shared" si="0"/>
        <v/>
      </c>
      <c r="J34" s="342" t="str">
        <f>IF($G34&gt;0,VLOOKUP($G34,[7]DrawPrep!$G$3:$I$18,3,FALSE),"")</f>
        <v/>
      </c>
      <c r="K34" s="172">
        <v>2</v>
      </c>
      <c r="L34" s="217" t="str">
        <f>UPPER(IF($A$2="R",IF(OR(K34=1,K34="a"),G34,IF(OR(K34=2,K34="b"),G36,"")),IF(OR(K34=1,K34="1"),I34,IF(OR(K34=2,K34="b"),I36,""))))</f>
        <v>ΣΗΜΑΙΟΦΟΡΙΔΗΣ</v>
      </c>
      <c r="M34" s="191"/>
      <c r="N34" s="146"/>
      <c r="O34" s="145"/>
      <c r="P34" s="146"/>
      <c r="R34" s="146"/>
    </row>
    <row r="35" spans="1:18" x14ac:dyDescent="0.2">
      <c r="A35" s="325">
        <v>16</v>
      </c>
      <c r="B35" s="326">
        <v>2</v>
      </c>
      <c r="C35" s="327"/>
      <c r="D35" s="328">
        <f>D33+E35</f>
        <v>5</v>
      </c>
      <c r="E35" s="328">
        <v>0</v>
      </c>
      <c r="F35" s="343">
        <f>VLOOKUP($B35,[7]Setup!$G$12:$H$27,2,FALSE)</f>
        <v>2</v>
      </c>
      <c r="G35" s="344">
        <f>IF([7]Setup!$B$24="#",0,IF(F35&gt;0,VLOOKUP(F35,[7]DrawPrep!$A$3:$I$18,3,FALSE),0))</f>
        <v>2</v>
      </c>
      <c r="H35" s="345" t="str">
        <f>IF(G35&gt;0,VLOOKUP(G35,[7]DrawPrep!$C$3:$G$18,2,FALSE),"bye")</f>
        <v>ΑΝΤΩΝΑΚΗ ΕΜΜΑΝΟΥΕΛΑ</v>
      </c>
      <c r="I35" s="332" t="str">
        <f t="shared" si="0"/>
        <v>ΑΝΤΩΝΑΚΗ</v>
      </c>
      <c r="J35" s="346">
        <f>IF($G35&gt;0,VLOOKUP($G35,[7]DrawPrep!$C$3:$G$18,3,FALSE),"")</f>
        <v>0</v>
      </c>
      <c r="K35" s="129"/>
      <c r="L35" s="178"/>
      <c r="N35" s="146"/>
      <c r="P35" s="146"/>
      <c r="Q35" s="129"/>
      <c r="R35" s="299"/>
    </row>
    <row r="36" spans="1:18" x14ac:dyDescent="0.2">
      <c r="A36" s="334"/>
      <c r="B36" s="351"/>
      <c r="C36" s="352"/>
      <c r="D36" s="353"/>
      <c r="E36" s="353"/>
      <c r="F36" s="347"/>
      <c r="G36" s="348">
        <f>IF([7]Setup!$B$24="#",0,IF(F35&gt;0,VLOOKUP(F35,[7]DrawPrep!$A$3:$I$18,7,FALSE),0))</f>
        <v>13</v>
      </c>
      <c r="H36" s="354" t="str">
        <f>IF(G36&gt;0,VLOOKUP(G36,[7]DrawPrep!$G$3:$I$18,2,FALSE)," ")</f>
        <v>ΣΗΜΑΙΟΦΟΡΙΔΗΣ ΧΑΡΗΣ</v>
      </c>
      <c r="I36" s="355" t="str">
        <f t="shared" si="0"/>
        <v>ΣΗΜΑΙΟΦΟΡΙΔΗΣ</v>
      </c>
      <c r="J36" s="356">
        <f>IF($G36&gt;0,VLOOKUP($G36,[7]DrawPrep!$G$3:$I$18,3,FALSE),"")</f>
        <v>0</v>
      </c>
      <c r="K36" s="129"/>
      <c r="L36" s="146"/>
      <c r="N36" s="146"/>
      <c r="P36" s="146"/>
      <c r="R36" s="196" t="s">
        <v>10</v>
      </c>
    </row>
    <row r="39" spans="1:18" x14ac:dyDescent="0.2">
      <c r="H39" s="202" t="s">
        <v>11</v>
      </c>
      <c r="I39" s="199"/>
      <c r="J39" s="199"/>
      <c r="P39" s="210" t="s">
        <v>12</v>
      </c>
      <c r="Q39" s="207"/>
      <c r="R39" s="199"/>
    </row>
    <row r="40" spans="1:18" x14ac:dyDescent="0.2">
      <c r="H40" s="318" t="str">
        <f>"1. " &amp; IF([7]Setup!$B$19&gt;0,LEFT([7]DrawPrep!$D$3,FIND(" ",[7]DrawPrep!$D$3)+1)&amp;" - "&amp;LEFT([7]DrawPrep!$H$3,FIND(" ",[7]DrawPrep!$H$3)+1),"")</f>
        <v>1. ΚΟΚΚΟΤΑ Α - ΓΕΜΟΥΧΙΔΗΣ Π</v>
      </c>
      <c r="I40" s="318"/>
      <c r="J40" s="318"/>
      <c r="P40" s="308" t="str">
        <f>[7]Setup!B10</f>
        <v>Τ. Ταμπόση</v>
      </c>
      <c r="Q40" s="308"/>
      <c r="R40" s="308"/>
    </row>
    <row r="41" spans="1:18" x14ac:dyDescent="0.2">
      <c r="H41" s="318" t="str">
        <f>"2. " &amp; IF([7]Setup!$B$19&gt;1,LEFT([7]DrawPrep!$D$4,FIND(" ",[7]DrawPrep!$D$4)+1)&amp;" - "&amp;LEFT([7]DrawPrep!$H$4,FIND(" ",[7]DrawPrep!$H$4)+1),"")</f>
        <v>2. ΑΝΤΩΝΑΚΗ Ε - ΣΗΜΑΙΟΦΟΡΙΔΗΣ Χ</v>
      </c>
      <c r="I41" s="318"/>
      <c r="J41" s="318"/>
    </row>
    <row r="42" spans="1:18" x14ac:dyDescent="0.2">
      <c r="H42" s="318" t="str">
        <f>"3. " &amp; IF([7]Setup!$B$19&gt;2,LEFT([7]DrawPrep!$D$5,FIND(" ",[7]DrawPrep!$D$5)+1)&amp;" - "&amp;LEFT([7]DrawPrep!$H$5,FIND(" ",[7]DrawPrep!$H$5)+1),"")</f>
        <v>3. ΣΤΕΦΑΝΟΥ Α - ΓΛΕΖΟΣ Μ</v>
      </c>
      <c r="I42" s="318"/>
      <c r="J42" s="318"/>
    </row>
    <row r="43" spans="1:18" x14ac:dyDescent="0.2">
      <c r="H43" s="318" t="str">
        <f>"4. " &amp; IF([7]Setup!$B$19&gt;3,LEFT([7]DrawPrep!$D$6,FIND(" ",[7]DrawPrep!$D$6)+1)&amp;" - "&amp;LEFT([7]DrawPrep!$H$6,FIND(" ",[7]DrawPrep!$H$6)+1),"")</f>
        <v>4. ΝΙΚΟΛΟΠΟΥΛΟΥ Ν - ΚΟΚΚΟΤΑΣ Ν</v>
      </c>
      <c r="I43" s="318"/>
      <c r="J43" s="318"/>
    </row>
    <row r="58" spans="8:10" x14ac:dyDescent="0.2">
      <c r="H58" s="202" t="s">
        <v>13</v>
      </c>
      <c r="I58" s="199"/>
      <c r="J58" s="199"/>
    </row>
    <row r="59" spans="8:10" x14ac:dyDescent="0.2">
      <c r="H59" s="208" t="str">
        <f>IF([7]Setup!$B$19&gt;0,LEFT([7]DrawPrep!$D$3,FIND(" ",[7]DrawPrep!$D$3)-1))</f>
        <v>ΚΟΚΚΟΤΑ</v>
      </c>
      <c r="I59" s="208"/>
      <c r="J59" s="208"/>
    </row>
    <row r="60" spans="8:10" x14ac:dyDescent="0.2">
      <c r="H60" s="208" t="str">
        <f>IF([7]Setup!$B$19&gt;0,LEFT([7]DrawPrep!$H$3,FIND(" ",[7]DrawPrep!$H$3)-1),"")</f>
        <v>ΓΕΜΟΥΧΙΔΗΣ</v>
      </c>
      <c r="I60" s="208"/>
      <c r="J60" s="208"/>
    </row>
    <row r="61" spans="8:10" x14ac:dyDescent="0.2">
      <c r="H61" s="208" t="str">
        <f>IF([7]Setup!$B$19&gt;0,LEFT([7]DrawPrep!$D$4,FIND(" ",[7]DrawPrep!$D$4)-1))</f>
        <v>ΑΝΤΩΝΑΚΗ</v>
      </c>
      <c r="I61" s="208"/>
      <c r="J61" s="208"/>
    </row>
    <row r="62" spans="8:10" x14ac:dyDescent="0.2">
      <c r="H62" s="208" t="str">
        <f>IF([7]Setup!$B$19&gt;0,LEFT([7]DrawPrep!$H$4,FIND(" ",[7]DrawPrep!$H$4)-1),"")</f>
        <v>ΣΗΜΑΙΟΦΟΡΙΔΗΣ</v>
      </c>
      <c r="I62" s="208"/>
      <c r="J62" s="208"/>
    </row>
    <row r="63" spans="8:10" x14ac:dyDescent="0.2">
      <c r="H63" s="208" t="str">
        <f>IF([7]Setup!$B$19&gt;0,LEFT([7]DrawPrep!$D$5,FIND(" ",[7]DrawPrep!$D$5)-1))</f>
        <v>ΣΤΕΦΑΝΟΥ</v>
      </c>
      <c r="I63" s="208"/>
      <c r="J63" s="208"/>
    </row>
    <row r="64" spans="8:10" x14ac:dyDescent="0.2">
      <c r="H64" s="208" t="str">
        <f>IF([7]Setup!$B$19&gt;0,LEFT([7]DrawPrep!$H$5,FIND(" ",[7]DrawPrep!$H$5)-1),"")</f>
        <v>ΓΛΕΖΟΣ</v>
      </c>
      <c r="I64" s="208"/>
      <c r="J64" s="208"/>
    </row>
    <row r="65" spans="8:10" x14ac:dyDescent="0.2">
      <c r="H65" s="208" t="str">
        <f>IF([7]Setup!$B$19&gt;0,LEFT([7]DrawPrep!$D$6,FIND(" ",[7]DrawPrep!$D$6)-1))</f>
        <v>ΝΙΚΟΛΟΠΟΥΛΟΥ</v>
      </c>
      <c r="I65" s="208"/>
      <c r="J65" s="208"/>
    </row>
    <row r="66" spans="8:10" x14ac:dyDescent="0.2">
      <c r="H66" s="208" t="str">
        <f>IF([7]Setup!$B$19&gt;0,LEFT([7]DrawPrep!$H$6,FIND(" ",[7]DrawPrep!$H$6)-1),"")</f>
        <v>ΚΟΚΚΟΤΑΣ</v>
      </c>
      <c r="I66" s="208"/>
      <c r="J66" s="208"/>
    </row>
  </sheetData>
  <sheetProtection password="CF33" sheet="1" objects="1" scenarios="1" formatCells="0" formatColumns="0" formatRows="0"/>
  <mergeCells count="39">
    <mergeCell ref="H41:J41"/>
    <mergeCell ref="H42:J42"/>
    <mergeCell ref="H43:J43"/>
    <mergeCell ref="A33:A34"/>
    <mergeCell ref="F33:F34"/>
    <mergeCell ref="A35:A36"/>
    <mergeCell ref="F35:F36"/>
    <mergeCell ref="H40:J40"/>
    <mergeCell ref="P40:R40"/>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conditionalFormatting sqref="L5:L6 L13:L14 L21:L22 L29:L30 L9:L10 L17:L18 L25:L26 L33:L34 N31:N32 N23:N24 N15:N16 N7:N8 P11:P12 P27:P28 P19:P20">
    <cfRule type="expression" dxfId="0"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Line="0" autoPict="0" macro="[7]!Sheet2pdf">
                <anchor moveWithCells="1" sizeWithCells="1">
                  <from>
                    <xdr:col>18</xdr:col>
                    <xdr:colOff>0</xdr:colOff>
                    <xdr:row>7</xdr:row>
                    <xdr:rowOff>95250</xdr:rowOff>
                  </from>
                  <to>
                    <xdr:col>21</xdr:col>
                    <xdr:colOff>133350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Περιοχές με ονόματα</vt:lpstr>
      </vt:variant>
      <vt:variant>
        <vt:i4>7</vt:i4>
      </vt:variant>
    </vt:vector>
  </HeadingPairs>
  <TitlesOfParts>
    <vt:vector size="14" baseType="lpstr">
      <vt:lpstr>m q</vt:lpstr>
      <vt:lpstr>m md</vt:lpstr>
      <vt:lpstr>w q</vt:lpstr>
      <vt:lpstr>w md</vt:lpstr>
      <vt:lpstr>dm new</vt:lpstr>
      <vt:lpstr>dw</vt:lpstr>
      <vt:lpstr>mix new</vt:lpstr>
      <vt:lpstr>'dm new'!Print_Area</vt:lpstr>
      <vt:lpstr>dw!Print_Area</vt:lpstr>
      <vt:lpstr>'m md'!Print_Area</vt:lpstr>
      <vt:lpstr>'m q'!Print_Area</vt:lpstr>
      <vt:lpstr>'mix new'!Print_Area</vt:lpstr>
      <vt:lpstr>'w md'!Print_Area</vt:lpstr>
      <vt:lpstr>'w q'!Print_Area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user11</cp:lastModifiedBy>
  <cp:lastPrinted>2015-11-13T09:53:11Z</cp:lastPrinted>
  <dcterms:created xsi:type="dcterms:W3CDTF">2015-11-11T14:02:17Z</dcterms:created>
  <dcterms:modified xsi:type="dcterms:W3CDTF">2015-11-13T10:21:03Z</dcterms:modified>
</cp:coreProperties>
</file>