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528"/>
  <workbookPr defaultThemeVersion="166925"/>
  <mc:AlternateContent xmlns:mc="http://schemas.openxmlformats.org/markup-compatibility/2006">
    <mc:Choice Requires="x15">
      <x15ac:absPath xmlns:x15ac="http://schemas.microsoft.com/office/spreadsheetml/2010/11/ac" url="C:\Users\ttabo\Desktop\open master\"/>
    </mc:Choice>
  </mc:AlternateContent>
  <bookViews>
    <workbookView xWindow="0" yWindow="0" windowWidth="21504" windowHeight="5304" xr2:uid="{8101905E-0849-4D88-BDFE-10BB63D80B2D}"/>
  </bookViews>
  <sheets>
    <sheet name="qm" sheetId="2" r:id="rId1"/>
    <sheet name="mmd" sheetId="6" r:id="rId2"/>
    <sheet name="ws" sheetId="8" r:id="rId3"/>
    <sheet name="md " sheetId="4" r:id="rId4"/>
    <sheet name="xd" sheetId="1" r:id="rId5"/>
  </sheets>
  <externalReferences>
    <externalReference r:id="rId6"/>
    <externalReference r:id="rId7"/>
    <externalReference r:id="rId8"/>
    <externalReference r:id="rId9"/>
    <externalReference r:id="rId10"/>
  </externalReferences>
  <definedNames>
    <definedName name="_xlnm._FilterDatabase" localSheetId="3" hidden="1">'md '!$A$4:$S$35</definedName>
    <definedName name="_xlnm._FilterDatabase" localSheetId="1" hidden="1">mmd!$A$4:$S$20</definedName>
    <definedName name="_xlnm._FilterDatabase" localSheetId="0" hidden="1">qm!$B$1:$B$105</definedName>
    <definedName name="_xlnm._FilterDatabase" localSheetId="4" hidden="1">xd!$A$4:$Q$19</definedName>
    <definedName name="_xlnm.Print_Area" localSheetId="3">'md '!$A$1:$R$43</definedName>
    <definedName name="_xlnm.Print_Area" localSheetId="1">mmd!$A$1:$S$28</definedName>
    <definedName name="_xlnm.Print_Area" localSheetId="0">qm!$A$1:$O$74</definedName>
    <definedName name="_xlnm.Print_Area" localSheetId="2">ws!$A$1:$T$48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7" i="8" l="1"/>
  <c r="J66" i="8"/>
  <c r="J65" i="8"/>
  <c r="J64" i="8"/>
  <c r="J63" i="8"/>
  <c r="J62" i="8"/>
  <c r="J61" i="8"/>
  <c r="J60" i="8"/>
  <c r="J47" i="8"/>
  <c r="J46" i="8"/>
  <c r="J45" i="8"/>
  <c r="J44" i="8"/>
  <c r="J43" i="8"/>
  <c r="R42" i="8"/>
  <c r="J42" i="8"/>
  <c r="J41" i="8"/>
  <c r="J40" i="8"/>
  <c r="G36" i="8"/>
  <c r="I36" i="8" s="1"/>
  <c r="F36" i="8"/>
  <c r="C35" i="8"/>
  <c r="P34" i="8"/>
  <c r="N33" i="8"/>
  <c r="R32" i="8"/>
  <c r="L32" i="8"/>
  <c r="I32" i="8"/>
  <c r="H32" i="8"/>
  <c r="F32" i="8"/>
  <c r="N31" i="8"/>
  <c r="J31" i="8"/>
  <c r="K31" i="8" s="1"/>
  <c r="I31" i="8"/>
  <c r="L31" i="8" s="1"/>
  <c r="H31" i="8"/>
  <c r="F31" i="8"/>
  <c r="P30" i="8"/>
  <c r="C30" i="8"/>
  <c r="G29" i="8"/>
  <c r="B29" i="8"/>
  <c r="T28" i="8"/>
  <c r="I28" i="8"/>
  <c r="B28" i="8"/>
  <c r="G28" i="8" s="1"/>
  <c r="C27" i="8"/>
  <c r="P26" i="8"/>
  <c r="N25" i="8"/>
  <c r="R24" i="8"/>
  <c r="N23" i="8"/>
  <c r="L23" i="8"/>
  <c r="I23" i="8"/>
  <c r="J23" i="8" s="1"/>
  <c r="K23" i="8" s="1"/>
  <c r="H23" i="8"/>
  <c r="F23" i="8"/>
  <c r="P22" i="8"/>
  <c r="B21" i="8"/>
  <c r="T20" i="8"/>
  <c r="G20" i="8"/>
  <c r="F20" i="8"/>
  <c r="B20" i="8"/>
  <c r="C19" i="8" s="1"/>
  <c r="P18" i="8"/>
  <c r="I18" i="8"/>
  <c r="L18" i="8" s="1"/>
  <c r="H18" i="8"/>
  <c r="F18" i="8"/>
  <c r="K17" i="8"/>
  <c r="J17" i="8"/>
  <c r="I17" i="8"/>
  <c r="L17" i="8" s="1"/>
  <c r="H17" i="8"/>
  <c r="F17" i="8"/>
  <c r="R16" i="8"/>
  <c r="N15" i="8"/>
  <c r="P14" i="8"/>
  <c r="B13" i="8"/>
  <c r="T12" i="8"/>
  <c r="G12" i="8"/>
  <c r="F12" i="8"/>
  <c r="B12" i="8"/>
  <c r="C11" i="8"/>
  <c r="P10" i="8"/>
  <c r="R8" i="8"/>
  <c r="J8" i="8"/>
  <c r="I8" i="8"/>
  <c r="H8" i="8"/>
  <c r="F8" i="8"/>
  <c r="L7" i="8"/>
  <c r="I7" i="8"/>
  <c r="J7" i="8" s="1"/>
  <c r="K7" i="8" s="1"/>
  <c r="N7" i="8" s="1"/>
  <c r="H7" i="8"/>
  <c r="F7" i="8"/>
  <c r="P6" i="8"/>
  <c r="C6" i="8"/>
  <c r="I5" i="8"/>
  <c r="H5" i="8"/>
  <c r="G5" i="8"/>
  <c r="F5" i="8"/>
  <c r="B2" i="8"/>
  <c r="T1" i="8"/>
  <c r="A1" i="8"/>
  <c r="G19" i="8" l="1"/>
  <c r="G14" i="8"/>
  <c r="G11" i="8"/>
  <c r="G10" i="8"/>
  <c r="G6" i="8"/>
  <c r="E35" i="8"/>
  <c r="E34" i="8"/>
  <c r="E32" i="8"/>
  <c r="E30" i="8"/>
  <c r="E27" i="8"/>
  <c r="E26" i="8"/>
  <c r="E18" i="8"/>
  <c r="E16" i="8"/>
  <c r="E24" i="8"/>
  <c r="E8" i="8"/>
  <c r="E10" i="8"/>
  <c r="L28" i="8"/>
  <c r="J28" i="8"/>
  <c r="K28" i="8" s="1"/>
  <c r="N27" i="8" s="1"/>
  <c r="L36" i="8"/>
  <c r="I12" i="8"/>
  <c r="H12" i="8"/>
  <c r="C14" i="8"/>
  <c r="E14" i="8" s="1"/>
  <c r="G13" i="8"/>
  <c r="G35" i="8"/>
  <c r="J36" i="8"/>
  <c r="K36" i="8" s="1"/>
  <c r="N35" i="8" s="1"/>
  <c r="K5" i="8"/>
  <c r="N5" i="8" s="1"/>
  <c r="J5" i="8"/>
  <c r="J18" i="8"/>
  <c r="K18" i="8" s="1"/>
  <c r="N17" i="8" s="1"/>
  <c r="E19" i="8"/>
  <c r="F29" i="8"/>
  <c r="I29" i="8"/>
  <c r="H29" i="8"/>
  <c r="L5" i="8"/>
  <c r="E6" i="8"/>
  <c r="D6" i="8" s="1"/>
  <c r="G27" i="8"/>
  <c r="L8" i="8"/>
  <c r="K8" i="8"/>
  <c r="E11" i="8"/>
  <c r="I20" i="8"/>
  <c r="H20" i="8"/>
  <c r="C22" i="8"/>
  <c r="E22" i="8" s="1"/>
  <c r="G21" i="8"/>
  <c r="H28" i="8"/>
  <c r="F28" i="8"/>
  <c r="G30" i="8"/>
  <c r="K32" i="8"/>
  <c r="J32" i="8"/>
  <c r="H36" i="8"/>
  <c r="F21" i="8" l="1"/>
  <c r="I21" i="8"/>
  <c r="H21" i="8"/>
  <c r="F13" i="8"/>
  <c r="I13" i="8"/>
  <c r="H13" i="8"/>
  <c r="J29" i="8"/>
  <c r="K29" i="8" s="1"/>
  <c r="N29" i="8" s="1"/>
  <c r="L29" i="8"/>
  <c r="F35" i="8"/>
  <c r="H35" i="8"/>
  <c r="I35" i="8"/>
  <c r="F6" i="8"/>
  <c r="I6" i="8"/>
  <c r="H6" i="8"/>
  <c r="F19" i="8"/>
  <c r="H19" i="8"/>
  <c r="I19" i="8"/>
  <c r="D7" i="8"/>
  <c r="B6" i="8"/>
  <c r="F10" i="8"/>
  <c r="H10" i="8"/>
  <c r="I10" i="8"/>
  <c r="G22" i="8"/>
  <c r="F14" i="8"/>
  <c r="I14" i="8"/>
  <c r="H14" i="8"/>
  <c r="F30" i="8"/>
  <c r="I30" i="8"/>
  <c r="H30" i="8"/>
  <c r="L20" i="8"/>
  <c r="K20" i="8"/>
  <c r="N19" i="8" s="1"/>
  <c r="J20" i="8"/>
  <c r="F27" i="8"/>
  <c r="I27" i="8"/>
  <c r="H27" i="8"/>
  <c r="L12" i="8"/>
  <c r="J12" i="8"/>
  <c r="K12" i="8"/>
  <c r="N11" i="8" s="1"/>
  <c r="F11" i="8"/>
  <c r="I11" i="8"/>
  <c r="H11" i="8"/>
  <c r="F22" i="8" l="1"/>
  <c r="H22" i="8"/>
  <c r="I22" i="8"/>
  <c r="J35" i="8"/>
  <c r="L35" i="8"/>
  <c r="K35" i="8"/>
  <c r="B7" i="8"/>
  <c r="D8" i="8"/>
  <c r="K14" i="8"/>
  <c r="J14" i="8"/>
  <c r="L14" i="8"/>
  <c r="K19" i="8"/>
  <c r="J19" i="8"/>
  <c r="L19" i="8"/>
  <c r="K6" i="8"/>
  <c r="J6" i="8"/>
  <c r="L6" i="8"/>
  <c r="J21" i="8"/>
  <c r="K21" i="8" s="1"/>
  <c r="N21" i="8" s="1"/>
  <c r="L21" i="8"/>
  <c r="J27" i="8"/>
  <c r="L27" i="8"/>
  <c r="K27" i="8"/>
  <c r="K10" i="8"/>
  <c r="J10" i="8"/>
  <c r="L10" i="8"/>
  <c r="K11" i="8"/>
  <c r="J11" i="8"/>
  <c r="L11" i="8"/>
  <c r="J30" i="8"/>
  <c r="L30" i="8"/>
  <c r="K30" i="8"/>
  <c r="J13" i="8"/>
  <c r="K13" i="8" s="1"/>
  <c r="N13" i="8" s="1"/>
  <c r="L13" i="8"/>
  <c r="K22" i="8" l="1"/>
  <c r="J22" i="8"/>
  <c r="L22" i="8"/>
  <c r="B8" i="8"/>
  <c r="D9" i="8"/>
  <c r="D10" i="8" l="1"/>
  <c r="B9" i="8"/>
  <c r="G9" i="8" s="1"/>
  <c r="F9" i="8" l="1"/>
  <c r="I9" i="8"/>
  <c r="H9" i="8"/>
  <c r="B10" i="8"/>
  <c r="D11" i="8"/>
  <c r="J9" i="8" l="1"/>
  <c r="L9" i="8"/>
  <c r="K9" i="8"/>
  <c r="N9" i="8" s="1"/>
  <c r="D12" i="8"/>
  <c r="D13" i="8" s="1"/>
  <c r="D14" i="8" s="1"/>
  <c r="B11" i="8"/>
  <c r="D15" i="8" l="1"/>
  <c r="B14" i="8"/>
  <c r="B15" i="8" l="1"/>
  <c r="G15" i="8" s="1"/>
  <c r="D16" i="8"/>
  <c r="B16" i="8" l="1"/>
  <c r="G16" i="8" s="1"/>
  <c r="D17" i="8"/>
  <c r="I15" i="8"/>
  <c r="H15" i="8"/>
  <c r="F15" i="8"/>
  <c r="L15" i="8" l="1"/>
  <c r="J15" i="8"/>
  <c r="K15" i="8" s="1"/>
  <c r="B17" i="8"/>
  <c r="D18" i="8"/>
  <c r="F16" i="8"/>
  <c r="I16" i="8"/>
  <c r="H16" i="8"/>
  <c r="J16" i="8" l="1"/>
  <c r="K16" i="8" s="1"/>
  <c r="L16" i="8"/>
  <c r="D19" i="8"/>
  <c r="B18" i="8"/>
  <c r="D20" i="8" l="1"/>
  <c r="D21" i="8" s="1"/>
  <c r="D22" i="8" s="1"/>
  <c r="B19" i="8"/>
  <c r="D23" i="8" l="1"/>
  <c r="B22" i="8"/>
  <c r="B23" i="8" l="1"/>
  <c r="D24" i="8"/>
  <c r="D25" i="8" l="1"/>
  <c r="B24" i="8"/>
  <c r="G24" i="8" s="1"/>
  <c r="F24" i="8" l="1"/>
  <c r="I24" i="8"/>
  <c r="H24" i="8"/>
  <c r="D26" i="8"/>
  <c r="B25" i="8"/>
  <c r="G25" i="8" s="1"/>
  <c r="J24" i="8" l="1"/>
  <c r="K24" i="8" s="1"/>
  <c r="L24" i="8"/>
  <c r="D27" i="8"/>
  <c r="B26" i="8"/>
  <c r="G26" i="8" s="1"/>
  <c r="I25" i="8"/>
  <c r="H25" i="8"/>
  <c r="F25" i="8"/>
  <c r="B27" i="8" l="1"/>
  <c r="D28" i="8"/>
  <c r="D29" i="8" s="1"/>
  <c r="D30" i="8" s="1"/>
  <c r="K25" i="8"/>
  <c r="L25" i="8"/>
  <c r="J25" i="8"/>
  <c r="F26" i="8"/>
  <c r="I26" i="8"/>
  <c r="H26" i="8"/>
  <c r="B30" i="8" l="1"/>
  <c r="D31" i="8"/>
  <c r="J26" i="8"/>
  <c r="K26" i="8" s="1"/>
  <c r="L26" i="8"/>
  <c r="B31" i="8" l="1"/>
  <c r="D32" i="8"/>
  <c r="D33" i="8" l="1"/>
  <c r="B32" i="8"/>
  <c r="B33" i="8" l="1"/>
  <c r="G33" i="8" s="1"/>
  <c r="D34" i="8"/>
  <c r="D35" i="8" l="1"/>
  <c r="B34" i="8"/>
  <c r="G34" i="8" s="1"/>
  <c r="I33" i="8"/>
  <c r="H33" i="8"/>
  <c r="F33" i="8"/>
  <c r="F34" i="8" l="1"/>
  <c r="H34" i="8"/>
  <c r="I34" i="8"/>
  <c r="K33" i="8"/>
  <c r="L33" i="8"/>
  <c r="J33" i="8"/>
  <c r="D36" i="8"/>
  <c r="B35" i="8"/>
  <c r="J34" i="8" l="1"/>
  <c r="L34" i="8"/>
  <c r="K34" i="8"/>
  <c r="J44" i="6" l="1"/>
  <c r="J43" i="6"/>
  <c r="J42" i="6"/>
  <c r="J41" i="6"/>
  <c r="J28" i="6"/>
  <c r="R27" i="6"/>
  <c r="J27" i="6"/>
  <c r="J26" i="6"/>
  <c r="J25" i="6"/>
  <c r="J20" i="6"/>
  <c r="I20" i="6"/>
  <c r="L20" i="6" s="1"/>
  <c r="G20" i="6"/>
  <c r="H20" i="6" s="1"/>
  <c r="F20" i="6"/>
  <c r="N19" i="6"/>
  <c r="I19" i="6"/>
  <c r="J19" i="6" s="1"/>
  <c r="K19" i="6" s="1"/>
  <c r="H19" i="6"/>
  <c r="F19" i="6"/>
  <c r="P18" i="6"/>
  <c r="I18" i="6"/>
  <c r="L18" i="6" s="1"/>
  <c r="H18" i="6"/>
  <c r="F18" i="6"/>
  <c r="N17" i="6"/>
  <c r="I17" i="6"/>
  <c r="J17" i="6" s="1"/>
  <c r="K17" i="6" s="1"/>
  <c r="H17" i="6"/>
  <c r="F17" i="6"/>
  <c r="R16" i="6"/>
  <c r="L16" i="6"/>
  <c r="J16" i="6"/>
  <c r="I16" i="6"/>
  <c r="K16" i="6" s="1"/>
  <c r="H16" i="6"/>
  <c r="F16" i="6"/>
  <c r="N15" i="6"/>
  <c r="P14" i="6"/>
  <c r="C14" i="6"/>
  <c r="N13" i="6"/>
  <c r="B13" i="6"/>
  <c r="G13" i="6" s="1"/>
  <c r="R12" i="6"/>
  <c r="J12" i="6"/>
  <c r="K12" i="6" s="1"/>
  <c r="I12" i="6"/>
  <c r="L12" i="6" s="1"/>
  <c r="H12" i="6"/>
  <c r="F12" i="6"/>
  <c r="N11" i="6"/>
  <c r="P10" i="6"/>
  <c r="C10" i="6"/>
  <c r="N9" i="6"/>
  <c r="B9" i="6"/>
  <c r="G9" i="6" s="1"/>
  <c r="R8" i="6"/>
  <c r="N7" i="6"/>
  <c r="I7" i="6"/>
  <c r="J7" i="6" s="1"/>
  <c r="K7" i="6" s="1"/>
  <c r="H7" i="6"/>
  <c r="F7" i="6"/>
  <c r="P6" i="6"/>
  <c r="N5" i="6"/>
  <c r="G5" i="6"/>
  <c r="F5" i="6" s="1"/>
  <c r="B2" i="6"/>
  <c r="E19" i="6" s="1"/>
  <c r="R1" i="6"/>
  <c r="A1" i="6"/>
  <c r="H66" i="4"/>
  <c r="H65" i="4"/>
  <c r="H64" i="4"/>
  <c r="H63" i="4"/>
  <c r="H62" i="4"/>
  <c r="H61" i="4"/>
  <c r="H60" i="4"/>
  <c r="H59" i="4"/>
  <c r="H43" i="4"/>
  <c r="H42" i="4"/>
  <c r="H41" i="4"/>
  <c r="P40" i="4"/>
  <c r="H40" i="4"/>
  <c r="H36" i="4"/>
  <c r="I36" i="4" s="1"/>
  <c r="G36" i="4"/>
  <c r="J36" i="4" s="1"/>
  <c r="H35" i="4"/>
  <c r="I35" i="4" s="1"/>
  <c r="G35" i="4"/>
  <c r="J35" i="4" s="1"/>
  <c r="F35" i="4"/>
  <c r="L34" i="4"/>
  <c r="L33" i="4"/>
  <c r="E33" i="4"/>
  <c r="N32" i="4"/>
  <c r="N31" i="4"/>
  <c r="L30" i="4"/>
  <c r="L29" i="4"/>
  <c r="P28" i="4"/>
  <c r="P27" i="4"/>
  <c r="E27" i="4"/>
  <c r="L26" i="4"/>
  <c r="L25" i="4"/>
  <c r="N24" i="4"/>
  <c r="N23" i="4"/>
  <c r="E23" i="4"/>
  <c r="C23" i="4"/>
  <c r="L22" i="4"/>
  <c r="L21" i="4"/>
  <c r="B21" i="4"/>
  <c r="F21" i="4" s="1"/>
  <c r="P20" i="4"/>
  <c r="P19" i="4"/>
  <c r="B19" i="4"/>
  <c r="F19" i="4" s="1"/>
  <c r="L18" i="4"/>
  <c r="L17" i="4"/>
  <c r="E17" i="4"/>
  <c r="C17" i="4"/>
  <c r="N16" i="4"/>
  <c r="N15" i="4"/>
  <c r="E15" i="4"/>
  <c r="L14" i="4"/>
  <c r="J14" i="4"/>
  <c r="I14" i="4"/>
  <c r="H14" i="4"/>
  <c r="G14" i="4"/>
  <c r="L13" i="4"/>
  <c r="J13" i="4"/>
  <c r="G13" i="4"/>
  <c r="P12" i="4"/>
  <c r="P11" i="4"/>
  <c r="L10" i="4"/>
  <c r="G10" i="4"/>
  <c r="J10" i="4" s="1"/>
  <c r="L9" i="4"/>
  <c r="H9" i="4"/>
  <c r="I9" i="4" s="1"/>
  <c r="G9" i="4"/>
  <c r="J9" i="4" s="1"/>
  <c r="N8" i="4"/>
  <c r="N7" i="4"/>
  <c r="E7" i="4"/>
  <c r="D7" i="4"/>
  <c r="B7" i="4" s="1"/>
  <c r="F5" i="4"/>
  <c r="G6" i="4" s="1"/>
  <c r="B2" i="4"/>
  <c r="E31" i="4" s="1"/>
  <c r="P1" i="4"/>
  <c r="A1" i="4"/>
  <c r="I9" i="6" l="1"/>
  <c r="H9" i="6"/>
  <c r="F9" i="6"/>
  <c r="F13" i="6"/>
  <c r="H13" i="6"/>
  <c r="I13" i="6"/>
  <c r="H5" i="6"/>
  <c r="E6" i="6"/>
  <c r="D6" i="6" s="1"/>
  <c r="L7" i="6"/>
  <c r="E8" i="6"/>
  <c r="E14" i="6"/>
  <c r="L17" i="6"/>
  <c r="E18" i="6"/>
  <c r="J18" i="6"/>
  <c r="K18" i="6" s="1"/>
  <c r="L19" i="6"/>
  <c r="K20" i="6"/>
  <c r="I5" i="6"/>
  <c r="E11" i="6"/>
  <c r="E16" i="6"/>
  <c r="E10" i="6"/>
  <c r="G19" i="4"/>
  <c r="G20" i="4"/>
  <c r="H6" i="4"/>
  <c r="I6" i="4" s="1"/>
  <c r="L6" i="4" s="1"/>
  <c r="J6" i="4"/>
  <c r="G21" i="4"/>
  <c r="G22" i="4"/>
  <c r="G5" i="4"/>
  <c r="H10" i="4"/>
  <c r="I10" i="4" s="1"/>
  <c r="F7" i="4"/>
  <c r="D9" i="4"/>
  <c r="H13" i="4"/>
  <c r="I13" i="4" s="1"/>
  <c r="E11" i="4"/>
  <c r="D7" i="6" l="1"/>
  <c r="B6" i="6"/>
  <c r="G6" i="6" s="1"/>
  <c r="J5" i="6"/>
  <c r="K5" i="6"/>
  <c r="L5" i="6"/>
  <c r="J13" i="6"/>
  <c r="K13" i="6" s="1"/>
  <c r="L13" i="6"/>
  <c r="L9" i="6"/>
  <c r="J9" i="6"/>
  <c r="K9" i="6" s="1"/>
  <c r="B9" i="4"/>
  <c r="D11" i="4"/>
  <c r="J21" i="4"/>
  <c r="I21" i="4"/>
  <c r="H21" i="4"/>
  <c r="J20" i="4"/>
  <c r="H20" i="4"/>
  <c r="I20" i="4"/>
  <c r="J22" i="4"/>
  <c r="H22" i="4"/>
  <c r="I22" i="4" s="1"/>
  <c r="G7" i="4"/>
  <c r="G8" i="4"/>
  <c r="H5" i="4"/>
  <c r="I5" i="4" s="1"/>
  <c r="L5" i="4" s="1"/>
  <c r="J5" i="4"/>
  <c r="J19" i="4"/>
  <c r="H19" i="4"/>
  <c r="I19" i="4" s="1"/>
  <c r="H6" i="6" l="1"/>
  <c r="F6" i="6"/>
  <c r="I6" i="6"/>
  <c r="D8" i="6"/>
  <c r="B7" i="6"/>
  <c r="D13" i="4"/>
  <c r="B11" i="4"/>
  <c r="F11" i="4" s="1"/>
  <c r="I7" i="4"/>
  <c r="H7" i="4"/>
  <c r="J7" i="4"/>
  <c r="J8" i="4"/>
  <c r="I8" i="4"/>
  <c r="H8" i="4"/>
  <c r="L6" i="6" l="1"/>
  <c r="J6" i="6"/>
  <c r="K6" i="6" s="1"/>
  <c r="D9" i="6"/>
  <c r="D10" i="6" s="1"/>
  <c r="B8" i="6"/>
  <c r="G8" i="6" s="1"/>
  <c r="G11" i="4"/>
  <c r="G12" i="4"/>
  <c r="B13" i="4"/>
  <c r="D15" i="4"/>
  <c r="B10" i="6" l="1"/>
  <c r="G10" i="6" s="1"/>
  <c r="D11" i="6"/>
  <c r="F8" i="6"/>
  <c r="I8" i="6"/>
  <c r="H8" i="6"/>
  <c r="H12" i="4"/>
  <c r="I12" i="4" s="1"/>
  <c r="J12" i="4"/>
  <c r="D17" i="4"/>
  <c r="B15" i="4"/>
  <c r="F15" i="4" s="1"/>
  <c r="J11" i="4"/>
  <c r="H11" i="4"/>
  <c r="I11" i="4" s="1"/>
  <c r="L8" i="6" l="1"/>
  <c r="J8" i="6"/>
  <c r="K8" i="6" s="1"/>
  <c r="D12" i="6"/>
  <c r="B11" i="6"/>
  <c r="G11" i="6" s="1"/>
  <c r="I10" i="6"/>
  <c r="F10" i="6"/>
  <c r="H10" i="6"/>
  <c r="B17" i="4"/>
  <c r="F17" i="4" s="1"/>
  <c r="D19" i="4"/>
  <c r="D21" i="4" s="1"/>
  <c r="D23" i="4" s="1"/>
  <c r="G15" i="4"/>
  <c r="G16" i="4"/>
  <c r="J10" i="6" l="1"/>
  <c r="L10" i="6"/>
  <c r="K10" i="6"/>
  <c r="B12" i="6"/>
  <c r="D13" i="6"/>
  <c r="D14" i="6" s="1"/>
  <c r="F11" i="6"/>
  <c r="I11" i="6"/>
  <c r="H11" i="6"/>
  <c r="H15" i="4"/>
  <c r="I15" i="4" s="1"/>
  <c r="J15" i="4"/>
  <c r="J16" i="4"/>
  <c r="H16" i="4"/>
  <c r="I16" i="4"/>
  <c r="D25" i="4"/>
  <c r="B23" i="4"/>
  <c r="F23" i="4" s="1"/>
  <c r="G18" i="4"/>
  <c r="G17" i="4"/>
  <c r="J11" i="6" l="1"/>
  <c r="K11" i="6" s="1"/>
  <c r="L11" i="6"/>
  <c r="D15" i="6"/>
  <c r="B14" i="6"/>
  <c r="G14" i="6" s="1"/>
  <c r="D27" i="4"/>
  <c r="B25" i="4"/>
  <c r="F25" i="4" s="1"/>
  <c r="H17" i="4"/>
  <c r="I17" i="4" s="1"/>
  <c r="J17" i="4"/>
  <c r="G23" i="4"/>
  <c r="G24" i="4"/>
  <c r="I18" i="4"/>
  <c r="J18" i="4"/>
  <c r="H18" i="4"/>
  <c r="B15" i="6" l="1"/>
  <c r="G15" i="6" s="1"/>
  <c r="D16" i="6"/>
  <c r="F14" i="6"/>
  <c r="I14" i="6"/>
  <c r="H14" i="6"/>
  <c r="H23" i="4"/>
  <c r="J23" i="4"/>
  <c r="I23" i="4"/>
  <c r="G26" i="4"/>
  <c r="G25" i="4"/>
  <c r="J24" i="4"/>
  <c r="H24" i="4"/>
  <c r="I24" i="4"/>
  <c r="B27" i="4"/>
  <c r="F27" i="4" s="1"/>
  <c r="D29" i="4"/>
  <c r="D17" i="6" l="1"/>
  <c r="B16" i="6"/>
  <c r="J14" i="6"/>
  <c r="K14" i="6" s="1"/>
  <c r="L14" i="6"/>
  <c r="I15" i="6"/>
  <c r="H15" i="6"/>
  <c r="F15" i="6"/>
  <c r="D31" i="4"/>
  <c r="B29" i="4"/>
  <c r="F29" i="4" s="1"/>
  <c r="I26" i="4"/>
  <c r="J26" i="4"/>
  <c r="H26" i="4"/>
  <c r="G28" i="4"/>
  <c r="G27" i="4"/>
  <c r="J25" i="4"/>
  <c r="H25" i="4"/>
  <c r="I25" i="4" s="1"/>
  <c r="L15" i="6" l="1"/>
  <c r="J15" i="6"/>
  <c r="K15" i="6"/>
  <c r="B17" i="6"/>
  <c r="D18" i="6"/>
  <c r="H28" i="4"/>
  <c r="J28" i="4"/>
  <c r="I28" i="4"/>
  <c r="G29" i="4"/>
  <c r="G30" i="4"/>
  <c r="H27" i="4"/>
  <c r="J27" i="4"/>
  <c r="I27" i="4"/>
  <c r="B31" i="4"/>
  <c r="F31" i="4" s="1"/>
  <c r="D33" i="4"/>
  <c r="B18" i="6" l="1"/>
  <c r="D19" i="6"/>
  <c r="J29" i="4"/>
  <c r="H29" i="4"/>
  <c r="I29" i="4" s="1"/>
  <c r="B33" i="4"/>
  <c r="F33" i="4" s="1"/>
  <c r="D35" i="4"/>
  <c r="G32" i="4"/>
  <c r="G31" i="4"/>
  <c r="J30" i="4"/>
  <c r="H30" i="4"/>
  <c r="I30" i="4" s="1"/>
  <c r="D20" i="6" l="1"/>
  <c r="B19" i="6"/>
  <c r="G33" i="4"/>
  <c r="G34" i="4"/>
  <c r="H32" i="4"/>
  <c r="I32" i="4" s="1"/>
  <c r="J32" i="4"/>
  <c r="J31" i="4"/>
  <c r="H31" i="4"/>
  <c r="I31" i="4" s="1"/>
  <c r="J34" i="4" l="1"/>
  <c r="H34" i="4"/>
  <c r="I34" i="4"/>
  <c r="I33" i="4"/>
  <c r="J33" i="4"/>
  <c r="H33" i="4"/>
  <c r="G96" i="2" l="1"/>
  <c r="G95" i="2"/>
  <c r="G94" i="2"/>
  <c r="G93" i="2"/>
  <c r="G92" i="2"/>
  <c r="G91" i="2"/>
  <c r="G90" i="2"/>
  <c r="G89" i="2"/>
  <c r="K88" i="2"/>
  <c r="I88" i="2"/>
  <c r="G88" i="2"/>
  <c r="K87" i="2"/>
  <c r="I87" i="2"/>
  <c r="G87" i="2"/>
  <c r="K86" i="2"/>
  <c r="I86" i="2"/>
  <c r="G86" i="2"/>
  <c r="K85" i="2"/>
  <c r="I85" i="2"/>
  <c r="G85" i="2"/>
  <c r="K84" i="2"/>
  <c r="I84" i="2"/>
  <c r="G84" i="2"/>
  <c r="K83" i="2"/>
  <c r="I83" i="2"/>
  <c r="G83" i="2"/>
  <c r="K82" i="2"/>
  <c r="D72" i="2" s="1"/>
  <c r="I82" i="2"/>
  <c r="D71" i="2" s="1"/>
  <c r="G82" i="2"/>
  <c r="K81" i="2"/>
  <c r="I81" i="2"/>
  <c r="G81" i="2"/>
  <c r="O72" i="2"/>
  <c r="G68" i="2"/>
  <c r="F68" i="2"/>
  <c r="D68" i="2"/>
  <c r="E68" i="2" s="1"/>
  <c r="I67" i="2"/>
  <c r="F67" i="2"/>
  <c r="E67" i="2"/>
  <c r="O66" i="2"/>
  <c r="M66" i="2"/>
  <c r="I66" i="2"/>
  <c r="F66" i="2"/>
  <c r="G66" i="2" s="1"/>
  <c r="H66" i="2" s="1"/>
  <c r="E66" i="2"/>
  <c r="K65" i="2"/>
  <c r="F65" i="2"/>
  <c r="E65" i="2"/>
  <c r="O64" i="2"/>
  <c r="I64" i="2"/>
  <c r="F64" i="2"/>
  <c r="G64" i="2" s="1"/>
  <c r="H64" i="2" s="1"/>
  <c r="K63" i="2" s="1"/>
  <c r="E64" i="2"/>
  <c r="F63" i="2"/>
  <c r="G63" i="2" s="1"/>
  <c r="E63" i="2"/>
  <c r="O62" i="2"/>
  <c r="M62" i="2"/>
  <c r="I62" i="2"/>
  <c r="F62" i="2"/>
  <c r="E62" i="2"/>
  <c r="D62" i="2"/>
  <c r="I61" i="2"/>
  <c r="H61" i="2"/>
  <c r="K61" i="2" s="1"/>
  <c r="F61" i="2"/>
  <c r="G61" i="2" s="1"/>
  <c r="E61" i="2"/>
  <c r="I60" i="2"/>
  <c r="F60" i="2"/>
  <c r="E60" i="2"/>
  <c r="D60" i="2"/>
  <c r="K59" i="2"/>
  <c r="F59" i="2"/>
  <c r="G59" i="2" s="1"/>
  <c r="O58" i="2"/>
  <c r="M58" i="2"/>
  <c r="E58" i="2"/>
  <c r="F58" i="2"/>
  <c r="G58" i="2" s="1"/>
  <c r="I57" i="2"/>
  <c r="H57" i="2"/>
  <c r="K57" i="2" s="1"/>
  <c r="G57" i="2"/>
  <c r="F57" i="2"/>
  <c r="E57" i="2"/>
  <c r="O56" i="2"/>
  <c r="I56" i="2"/>
  <c r="F56" i="2"/>
  <c r="E56" i="2"/>
  <c r="D56" i="2"/>
  <c r="K55" i="2"/>
  <c r="H55" i="2"/>
  <c r="E55" i="2"/>
  <c r="D55" i="2"/>
  <c r="F55" i="2" s="1"/>
  <c r="G55" i="2" s="1"/>
  <c r="O54" i="2"/>
  <c r="M54" i="2"/>
  <c r="I54" i="2"/>
  <c r="D54" i="2"/>
  <c r="F54" i="2" s="1"/>
  <c r="G54" i="2" s="1"/>
  <c r="I53" i="2"/>
  <c r="H53" i="2"/>
  <c r="K53" i="2" s="1"/>
  <c r="G53" i="2"/>
  <c r="F53" i="2"/>
  <c r="E53" i="2"/>
  <c r="I52" i="2"/>
  <c r="H52" i="2"/>
  <c r="F52" i="2"/>
  <c r="G52" i="2" s="1"/>
  <c r="E52" i="2"/>
  <c r="F51" i="2"/>
  <c r="D51" i="2"/>
  <c r="E51" i="2" s="1"/>
  <c r="O50" i="2"/>
  <c r="M50" i="2"/>
  <c r="F50" i="2"/>
  <c r="D50" i="2"/>
  <c r="E50" i="2" s="1"/>
  <c r="F49" i="2"/>
  <c r="I49" i="2" s="1"/>
  <c r="O48" i="2"/>
  <c r="F48" i="2"/>
  <c r="E48" i="2"/>
  <c r="K47" i="2"/>
  <c r="H47" i="2"/>
  <c r="E47" i="2"/>
  <c r="D47" i="2"/>
  <c r="F47" i="2" s="1"/>
  <c r="G47" i="2" s="1"/>
  <c r="O46" i="2"/>
  <c r="M46" i="2"/>
  <c r="I46" i="2"/>
  <c r="D46" i="2"/>
  <c r="F46" i="2" s="1"/>
  <c r="G46" i="2" s="1"/>
  <c r="I45" i="2"/>
  <c r="H45" i="2"/>
  <c r="K45" i="2" s="1"/>
  <c r="G45" i="2"/>
  <c r="F45" i="2"/>
  <c r="E45" i="2"/>
  <c r="I44" i="2"/>
  <c r="H44" i="2"/>
  <c r="F44" i="2"/>
  <c r="G44" i="2" s="1"/>
  <c r="E44" i="2"/>
  <c r="F43" i="2"/>
  <c r="E43" i="2"/>
  <c r="O42" i="2"/>
  <c r="M42" i="2"/>
  <c r="F42" i="2"/>
  <c r="I42" i="2" s="1"/>
  <c r="E42" i="2"/>
  <c r="K41" i="2"/>
  <c r="I41" i="2"/>
  <c r="H41" i="2"/>
  <c r="G41" i="2"/>
  <c r="F41" i="2"/>
  <c r="E41" i="2"/>
  <c r="O40" i="2"/>
  <c r="I40" i="2"/>
  <c r="F40" i="2"/>
  <c r="E40" i="2"/>
  <c r="D39" i="2"/>
  <c r="O38" i="2"/>
  <c r="M38" i="2"/>
  <c r="D38" i="2"/>
  <c r="G37" i="2"/>
  <c r="F37" i="2"/>
  <c r="E37" i="2"/>
  <c r="I36" i="2"/>
  <c r="H36" i="2"/>
  <c r="G36" i="2"/>
  <c r="F36" i="2"/>
  <c r="E36" i="2"/>
  <c r="K35" i="2"/>
  <c r="F35" i="2"/>
  <c r="I35" i="2" s="1"/>
  <c r="E35" i="2"/>
  <c r="O34" i="2"/>
  <c r="M34" i="2"/>
  <c r="I34" i="2"/>
  <c r="H34" i="2"/>
  <c r="F34" i="2"/>
  <c r="G34" i="2" s="1"/>
  <c r="F33" i="2"/>
  <c r="I33" i="2" s="1"/>
  <c r="E33" i="2"/>
  <c r="O32" i="2"/>
  <c r="D32" i="2"/>
  <c r="F31" i="2"/>
  <c r="D31" i="2"/>
  <c r="E31" i="2" s="1"/>
  <c r="O30" i="2"/>
  <c r="M30" i="2"/>
  <c r="G30" i="2"/>
  <c r="F30" i="2"/>
  <c r="D30" i="2"/>
  <c r="E30" i="2" s="1"/>
  <c r="I29" i="2"/>
  <c r="F29" i="2"/>
  <c r="E29" i="2"/>
  <c r="F28" i="2"/>
  <c r="E28" i="2"/>
  <c r="H27" i="2"/>
  <c r="E27" i="2"/>
  <c r="D27" i="2"/>
  <c r="F27" i="2" s="1"/>
  <c r="G27" i="2" s="1"/>
  <c r="O26" i="2"/>
  <c r="M26" i="2"/>
  <c r="I26" i="2"/>
  <c r="H26" i="2"/>
  <c r="F26" i="2"/>
  <c r="G26" i="2" s="1"/>
  <c r="E26" i="2"/>
  <c r="G25" i="2"/>
  <c r="F25" i="2"/>
  <c r="E25" i="2"/>
  <c r="O24" i="2"/>
  <c r="F24" i="2"/>
  <c r="G24" i="2" s="1"/>
  <c r="H24" i="2" s="1"/>
  <c r="K23" i="2" s="1"/>
  <c r="E24" i="2"/>
  <c r="F23" i="2"/>
  <c r="D23" i="2"/>
  <c r="E23" i="2" s="1"/>
  <c r="O22" i="2"/>
  <c r="M22" i="2"/>
  <c r="F22" i="2"/>
  <c r="D22" i="2"/>
  <c r="E22" i="2" s="1"/>
  <c r="F21" i="2"/>
  <c r="I21" i="2" s="1"/>
  <c r="E21" i="2"/>
  <c r="F20" i="2"/>
  <c r="G20" i="2" s="1"/>
  <c r="E20" i="2"/>
  <c r="D19" i="2"/>
  <c r="F19" i="2" s="1"/>
  <c r="G19" i="2" s="1"/>
  <c r="O18" i="2"/>
  <c r="M18" i="2"/>
  <c r="I18" i="2"/>
  <c r="H18" i="2"/>
  <c r="F18" i="2"/>
  <c r="G18" i="2" s="1"/>
  <c r="E18" i="2"/>
  <c r="G17" i="2"/>
  <c r="F17" i="2"/>
  <c r="E17" i="2"/>
  <c r="O16" i="2"/>
  <c r="I16" i="2"/>
  <c r="H16" i="2"/>
  <c r="F16" i="2"/>
  <c r="G16" i="2" s="1"/>
  <c r="E16" i="2"/>
  <c r="G15" i="2"/>
  <c r="F15" i="2"/>
  <c r="E15" i="2"/>
  <c r="O14" i="2"/>
  <c r="M14" i="2"/>
  <c r="F14" i="2"/>
  <c r="I14" i="2" s="1"/>
  <c r="E14" i="2"/>
  <c r="D14" i="2"/>
  <c r="I13" i="2"/>
  <c r="F13" i="2"/>
  <c r="G13" i="2" s="1"/>
  <c r="H13" i="2" s="1"/>
  <c r="K13" i="2" s="1"/>
  <c r="E13" i="2"/>
  <c r="F12" i="2"/>
  <c r="E12" i="2"/>
  <c r="I11" i="2"/>
  <c r="H11" i="2"/>
  <c r="G11" i="2"/>
  <c r="F11" i="2"/>
  <c r="E11" i="2"/>
  <c r="O10" i="2"/>
  <c r="M10" i="2"/>
  <c r="G10" i="2"/>
  <c r="F10" i="2"/>
  <c r="E10" i="2"/>
  <c r="K9" i="2"/>
  <c r="F9" i="2"/>
  <c r="G9" i="2" s="1"/>
  <c r="E9" i="2"/>
  <c r="O8" i="2"/>
  <c r="G8" i="2"/>
  <c r="F8" i="2"/>
  <c r="E8" i="2"/>
  <c r="O6" i="2"/>
  <c r="M6" i="2"/>
  <c r="H6" i="2"/>
  <c r="E6" i="2"/>
  <c r="D6" i="2"/>
  <c r="F6" i="2" s="1"/>
  <c r="G6" i="2" s="1"/>
  <c r="D5" i="2"/>
  <c r="B2" i="2"/>
  <c r="O1" i="2"/>
  <c r="A1" i="2"/>
  <c r="H26" i="1"/>
  <c r="N25" i="1"/>
  <c r="H25" i="1"/>
  <c r="F19" i="1"/>
  <c r="G20" i="1" s="1"/>
  <c r="L18" i="1"/>
  <c r="L17" i="1"/>
  <c r="N16" i="1"/>
  <c r="N15" i="1"/>
  <c r="E15" i="1"/>
  <c r="L14" i="1"/>
  <c r="J14" i="1"/>
  <c r="G14" i="1"/>
  <c r="H14" i="1" s="1"/>
  <c r="I14" i="1" s="1"/>
  <c r="L13" i="1"/>
  <c r="J13" i="1"/>
  <c r="G13" i="1"/>
  <c r="P12" i="1"/>
  <c r="J12" i="1"/>
  <c r="G12" i="1"/>
  <c r="H12" i="1" s="1"/>
  <c r="I12" i="1" s="1"/>
  <c r="P11" i="1"/>
  <c r="J11" i="1"/>
  <c r="G11" i="1"/>
  <c r="E11" i="1"/>
  <c r="L10" i="1"/>
  <c r="L9" i="1"/>
  <c r="N8" i="1"/>
  <c r="N7" i="1"/>
  <c r="E7" i="1"/>
  <c r="D7" i="1"/>
  <c r="B7" i="1" s="1"/>
  <c r="L6" i="1"/>
  <c r="L5" i="1"/>
  <c r="F5" i="1"/>
  <c r="G5" i="1" s="1"/>
  <c r="B2" i="1"/>
  <c r="E17" i="1" s="1"/>
  <c r="P1" i="1"/>
  <c r="A1" i="1"/>
  <c r="I58" i="2" l="1"/>
  <c r="H58" i="2"/>
  <c r="I24" i="2"/>
  <c r="H9" i="2"/>
  <c r="I9" i="2"/>
  <c r="F5" i="2"/>
  <c r="E5" i="2"/>
  <c r="I22" i="2"/>
  <c r="H22" i="2"/>
  <c r="I31" i="2"/>
  <c r="H31" i="2"/>
  <c r="I50" i="2"/>
  <c r="H50" i="2"/>
  <c r="G12" i="2"/>
  <c r="H12" i="2" s="1"/>
  <c r="K11" i="2" s="1"/>
  <c r="E19" i="2"/>
  <c r="G22" i="2"/>
  <c r="I23" i="2"/>
  <c r="H23" i="2"/>
  <c r="G31" i="2"/>
  <c r="F38" i="2"/>
  <c r="E38" i="2"/>
  <c r="I43" i="2"/>
  <c r="H43" i="2"/>
  <c r="K43" i="2" s="1"/>
  <c r="I48" i="2"/>
  <c r="G50" i="2"/>
  <c r="I51" i="2"/>
  <c r="H51" i="2"/>
  <c r="K51" i="2" s="1"/>
  <c r="E59" i="2"/>
  <c r="I65" i="2"/>
  <c r="I6" i="2"/>
  <c r="E7" i="2"/>
  <c r="I8" i="2"/>
  <c r="H8" i="2"/>
  <c r="K7" i="2" s="1"/>
  <c r="I12" i="2"/>
  <c r="I15" i="2"/>
  <c r="H15" i="2"/>
  <c r="K15" i="2" s="1"/>
  <c r="H19" i="2"/>
  <c r="G23" i="2"/>
  <c r="I25" i="2"/>
  <c r="H25" i="2"/>
  <c r="K25" i="2" s="1"/>
  <c r="I27" i="2"/>
  <c r="I37" i="2"/>
  <c r="H37" i="2"/>
  <c r="K37" i="2" s="1"/>
  <c r="F39" i="2"/>
  <c r="E39" i="2"/>
  <c r="H40" i="2"/>
  <c r="K39" i="2" s="1"/>
  <c r="G40" i="2"/>
  <c r="G43" i="2"/>
  <c r="E46" i="2"/>
  <c r="I47" i="2"/>
  <c r="G48" i="2"/>
  <c r="H48" i="2" s="1"/>
  <c r="G51" i="2"/>
  <c r="E54" i="2"/>
  <c r="I55" i="2"/>
  <c r="G56" i="2"/>
  <c r="H56" i="2" s="1"/>
  <c r="H59" i="2"/>
  <c r="G65" i="2"/>
  <c r="H65" i="2" s="1"/>
  <c r="D73" i="2"/>
  <c r="G21" i="2"/>
  <c r="H21" i="2" s="1"/>
  <c r="K21" i="2" s="1"/>
  <c r="I28" i="2"/>
  <c r="G33" i="2"/>
  <c r="H33" i="2" s="1"/>
  <c r="K33" i="2" s="1"/>
  <c r="H42" i="2"/>
  <c r="G42" i="2"/>
  <c r="G49" i="2"/>
  <c r="H49" i="2" s="1"/>
  <c r="K49" i="2" s="1"/>
  <c r="I63" i="2"/>
  <c r="H63" i="2"/>
  <c r="H14" i="2"/>
  <c r="G14" i="2"/>
  <c r="I20" i="2"/>
  <c r="H20" i="2"/>
  <c r="K19" i="2" s="1"/>
  <c r="G28" i="2"/>
  <c r="H28" i="2" s="1"/>
  <c r="K27" i="2" s="1"/>
  <c r="G35" i="2"/>
  <c r="H35" i="2" s="1"/>
  <c r="H7" i="2"/>
  <c r="I10" i="2"/>
  <c r="H10" i="2"/>
  <c r="I17" i="2"/>
  <c r="H17" i="2"/>
  <c r="K17" i="2" s="1"/>
  <c r="I19" i="2"/>
  <c r="G29" i="2"/>
  <c r="H29" i="2" s="1"/>
  <c r="K29" i="2" s="1"/>
  <c r="I30" i="2"/>
  <c r="H30" i="2"/>
  <c r="F32" i="2"/>
  <c r="E32" i="2"/>
  <c r="H46" i="2"/>
  <c r="H54" i="2"/>
  <c r="I59" i="2"/>
  <c r="H60" i="2"/>
  <c r="G60" i="2"/>
  <c r="H62" i="2"/>
  <c r="G62" i="2"/>
  <c r="H67" i="2"/>
  <c r="G67" i="2"/>
  <c r="I68" i="2"/>
  <c r="H68" i="2"/>
  <c r="K67" i="2" s="1"/>
  <c r="I7" i="1"/>
  <c r="H20" i="1"/>
  <c r="I20" i="1" s="1"/>
  <c r="J20" i="1"/>
  <c r="I5" i="1"/>
  <c r="H5" i="1"/>
  <c r="J5" i="1"/>
  <c r="I11" i="1"/>
  <c r="G19" i="1"/>
  <c r="G6" i="1"/>
  <c r="I8" i="1"/>
  <c r="D9" i="1"/>
  <c r="H11" i="1"/>
  <c r="H13" i="1"/>
  <c r="I13" i="1" s="1"/>
  <c r="I38" i="2" l="1"/>
  <c r="H38" i="2"/>
  <c r="G38" i="2"/>
  <c r="I39" i="2"/>
  <c r="G39" i="2"/>
  <c r="H39" i="2"/>
  <c r="I32" i="2"/>
  <c r="H32" i="2"/>
  <c r="K31" i="2" s="1"/>
  <c r="G32" i="2"/>
  <c r="I5" i="2"/>
  <c r="G5" i="2"/>
  <c r="H5" i="2" s="1"/>
  <c r="K5" i="2" s="1"/>
  <c r="H19" i="1"/>
  <c r="I19" i="1" s="1"/>
  <c r="J19" i="1"/>
  <c r="D11" i="1"/>
  <c r="B9" i="1"/>
  <c r="F9" i="1" s="1"/>
  <c r="H6" i="1"/>
  <c r="J6" i="1"/>
  <c r="I6" i="1"/>
  <c r="B11" i="1" l="1"/>
  <c r="D13" i="1"/>
  <c r="G10" i="1"/>
  <c r="G9" i="1"/>
  <c r="H10" i="1" l="1"/>
  <c r="I10" i="1" s="1"/>
  <c r="J10" i="1"/>
  <c r="B13" i="1"/>
  <c r="D15" i="1"/>
  <c r="J9" i="1"/>
  <c r="H9" i="1"/>
  <c r="I9" i="1" s="1"/>
  <c r="B15" i="1" l="1"/>
  <c r="F15" i="1" s="1"/>
  <c r="D17" i="1"/>
  <c r="D19" i="1" l="1"/>
  <c r="B17" i="1"/>
  <c r="F17" i="1" s="1"/>
  <c r="G15" i="1"/>
  <c r="G16" i="1"/>
  <c r="J15" i="1" l="1"/>
  <c r="H15" i="1"/>
  <c r="I15" i="1" s="1"/>
  <c r="G17" i="1"/>
  <c r="G18" i="1"/>
  <c r="J16" i="1"/>
  <c r="H16" i="1"/>
  <c r="I16" i="1"/>
  <c r="H17" i="1" l="1"/>
  <c r="I17" i="1" s="1"/>
  <c r="J17" i="1"/>
  <c r="H18" i="1"/>
  <c r="I18" i="1" s="1"/>
  <c r="J18" i="1"/>
</calcChain>
</file>

<file path=xl/sharedStrings.xml><?xml version="1.0" encoding="utf-8"?>
<sst xmlns="http://schemas.openxmlformats.org/spreadsheetml/2006/main" count="96" uniqueCount="31">
  <si>
    <t>w</t>
  </si>
  <si>
    <t>α/α</t>
  </si>
  <si>
    <t>ByeOrder</t>
  </si>
  <si>
    <t>ByeSum</t>
  </si>
  <si>
    <t>ByeCnt</t>
  </si>
  <si>
    <t>seed</t>
  </si>
  <si>
    <t>Α.Μ.</t>
  </si>
  <si>
    <t>Ονοματεπώνυμο</t>
  </si>
  <si>
    <t>επώνυμο</t>
  </si>
  <si>
    <t>Σύλλογος</t>
  </si>
  <si>
    <t xml:space="preserve"> </t>
  </si>
  <si>
    <t>seeded players</t>
  </si>
  <si>
    <t>επιδιαιτητής</t>
  </si>
  <si>
    <t>#</t>
  </si>
  <si>
    <t>Pts</t>
  </si>
  <si>
    <t>BoldPlayers</t>
  </si>
  <si>
    <t>2 &amp; w</t>
  </si>
  <si>
    <t>p1</t>
  </si>
  <si>
    <t>p2</t>
  </si>
  <si>
    <t>p3</t>
  </si>
  <si>
    <t>p4-5</t>
  </si>
  <si>
    <t>από</t>
  </si>
  <si>
    <t>p4</t>
  </si>
  <si>
    <t>p5-6</t>
  </si>
  <si>
    <t>-</t>
  </si>
  <si>
    <t>ΤΑΧΤΣΙΔΗΣ ΜΑΡΙΝΟΣ</t>
  </si>
  <si>
    <t>ΑΨΛ ΜΕΔΕΩΝ</t>
  </si>
  <si>
    <t>ΓΛΕΖΟΣ ΜΑΝΩΛΗΣ</t>
  </si>
  <si>
    <t>ΑΟΑ ΦΙΛΟΘΕΗΣ</t>
  </si>
  <si>
    <t>ΓΕΡΑΣΙΜΟΥ ΑΝΝΑ</t>
  </si>
  <si>
    <t>ΟΑ ΑΘΗΝΩΝ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</si>
</sst>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0"/>
      <name val="Arial"/>
      <family val="2"/>
      <charset val="161"/>
    </font>
    <font>
      <b/>
      <sz val="12"/>
      <color rgb="FFFF0000"/>
      <name val="Arial"/>
      <family val="2"/>
      <charset val="161"/>
    </font>
    <font>
      <b/>
      <u/>
      <sz val="13"/>
      <name val="Arial"/>
      <family val="2"/>
      <charset val="161"/>
    </font>
    <font>
      <b/>
      <sz val="13"/>
      <name val="Arial"/>
      <family val="2"/>
      <charset val="161"/>
    </font>
    <font>
      <sz val="13"/>
      <name val="Arial"/>
      <family val="2"/>
      <charset val="161"/>
    </font>
    <font>
      <sz val="6"/>
      <color indexed="55"/>
      <name val="Arial"/>
      <family val="2"/>
      <charset val="161"/>
    </font>
    <font>
      <sz val="6"/>
      <name val="Arial"/>
      <family val="2"/>
      <charset val="161"/>
    </font>
    <font>
      <sz val="8"/>
      <name val="Arial"/>
      <family val="2"/>
      <charset val="161"/>
    </font>
    <font>
      <u/>
      <sz val="8"/>
      <name val="Arial"/>
      <family val="2"/>
      <charset val="161"/>
    </font>
    <font>
      <u/>
      <sz val="6"/>
      <color indexed="55"/>
      <name val="Arial"/>
      <family val="2"/>
      <charset val="161"/>
    </font>
    <font>
      <u/>
      <sz val="8"/>
      <color indexed="55"/>
      <name val="Arial"/>
      <family val="2"/>
      <charset val="161"/>
    </font>
    <font>
      <b/>
      <sz val="6"/>
      <color indexed="12"/>
      <name val="Arial"/>
      <family val="2"/>
      <charset val="161"/>
    </font>
    <font>
      <b/>
      <sz val="6"/>
      <name val="Arial"/>
      <family val="2"/>
      <charset val="161"/>
    </font>
    <font>
      <b/>
      <sz val="8"/>
      <color indexed="12"/>
      <name val="Arial"/>
      <family val="2"/>
      <charset val="161"/>
    </font>
    <font>
      <sz val="8"/>
      <color indexed="55"/>
      <name val="Arial"/>
      <family val="2"/>
      <charset val="161"/>
    </font>
    <font>
      <sz val="7"/>
      <name val="Arial"/>
      <family val="2"/>
      <charset val="161"/>
    </font>
    <font>
      <b/>
      <sz val="7"/>
      <name val="Arial"/>
      <family val="2"/>
      <charset val="161"/>
    </font>
    <font>
      <b/>
      <sz val="8"/>
      <name val="Arial"/>
      <family val="2"/>
      <charset val="161"/>
    </font>
    <font>
      <i/>
      <sz val="7"/>
      <name val="Arial"/>
      <family val="2"/>
      <charset val="161"/>
    </font>
    <font>
      <b/>
      <i/>
      <u/>
      <sz val="7"/>
      <name val="Arial"/>
      <family val="2"/>
      <charset val="161"/>
    </font>
    <font>
      <i/>
      <sz val="7"/>
      <color indexed="55"/>
      <name val="Arial"/>
      <family val="2"/>
      <charset val="161"/>
    </font>
    <font>
      <i/>
      <u/>
      <sz val="7"/>
      <name val="Arial"/>
      <family val="2"/>
      <charset val="161"/>
    </font>
    <font>
      <b/>
      <i/>
      <sz val="7"/>
      <name val="Arial"/>
      <family val="2"/>
      <charset val="161"/>
    </font>
    <font>
      <b/>
      <u/>
      <sz val="14"/>
      <name val="Arial"/>
      <family val="2"/>
      <charset val="161"/>
    </font>
    <font>
      <b/>
      <sz val="16"/>
      <name val="Arial"/>
      <family val="2"/>
      <charset val="161"/>
    </font>
    <font>
      <b/>
      <sz val="9"/>
      <name val="Arial"/>
      <family val="2"/>
      <charset val="161"/>
    </font>
    <font>
      <sz val="9"/>
      <name val="Arial"/>
      <family val="2"/>
      <charset val="161"/>
    </font>
    <font>
      <i/>
      <u/>
      <sz val="8"/>
      <name val="Arial"/>
      <family val="2"/>
      <charset val="161"/>
    </font>
    <font>
      <b/>
      <i/>
      <sz val="8"/>
      <name val="Arial"/>
      <family val="2"/>
      <charset val="161"/>
    </font>
    <font>
      <b/>
      <sz val="8"/>
      <color indexed="55"/>
      <name val="Arial"/>
      <family val="2"/>
      <charset val="161"/>
    </font>
    <font>
      <b/>
      <i/>
      <u/>
      <sz val="6"/>
      <color theme="0" tint="-0.499984740745262"/>
      <name val="Arial"/>
      <family val="2"/>
      <charset val="161"/>
    </font>
    <font>
      <i/>
      <sz val="6"/>
      <color theme="0" tint="-0.499984740745262"/>
      <name val="Arial"/>
      <family val="2"/>
      <charset val="161"/>
    </font>
    <font>
      <sz val="8"/>
      <color theme="0" tint="-0.499984740745262"/>
      <name val="Arial"/>
      <family val="2"/>
      <charset val="161"/>
    </font>
    <font>
      <b/>
      <i/>
      <u/>
      <sz val="7"/>
      <color indexed="18"/>
      <name val="Arial"/>
      <family val="2"/>
      <charset val="161"/>
    </font>
    <font>
      <sz val="8"/>
      <color theme="0" tint="-4.9989318521683403E-2"/>
      <name val="Arial"/>
      <family val="2"/>
      <charset val="161"/>
    </font>
    <font>
      <b/>
      <i/>
      <u/>
      <sz val="7"/>
      <color theme="0" tint="-4.9989318521683403E-2"/>
      <name val="Arial"/>
      <family val="2"/>
      <charset val="161"/>
    </font>
    <font>
      <i/>
      <sz val="7"/>
      <color theme="0" tint="-4.9989318521683403E-2"/>
      <name val="Arial"/>
      <family val="2"/>
      <charset val="161"/>
    </font>
    <font>
      <sz val="9"/>
      <color theme="0" tint="-4.9989318521683403E-2"/>
      <name val="Arial"/>
      <family val="2"/>
      <charset val="161"/>
    </font>
    <font>
      <sz val="8"/>
      <color indexed="9"/>
      <name val="Arial"/>
      <family val="2"/>
      <charset val="161"/>
    </font>
    <font>
      <b/>
      <sz val="7"/>
      <color indexed="9"/>
      <name val="Arial"/>
      <family val="2"/>
      <charset val="161"/>
    </font>
    <font>
      <b/>
      <sz val="8"/>
      <color indexed="9"/>
      <name val="Arial"/>
      <family val="2"/>
      <charset val="161"/>
    </font>
  </fonts>
  <fills count="13">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47"/>
        <bgColor indexed="64"/>
      </patternFill>
    </fill>
    <fill>
      <patternFill patternType="solid">
        <fgColor indexed="1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indexed="1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s>
  <cellStyleXfs count="1">
    <xf numFmtId="0" fontId="0" fillId="0" borderId="0"/>
  </cellStyleXfs>
  <cellXfs count="336">
    <xf numFmtId="0" fontId="0" fillId="0" borderId="0" xfId="0"/>
    <xf numFmtId="0" fontId="2" fillId="0" borderId="0" xfId="0" applyNumberFormat="1" applyFont="1" applyFill="1" applyBorder="1" applyAlignment="1" applyProtection="1">
      <alignment vertical="center"/>
    </xf>
    <xf numFmtId="0" fontId="3" fillId="2"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protection locked="0"/>
    </xf>
    <xf numFmtId="0" fontId="4" fillId="0" borderId="0" xfId="0" applyNumberFormat="1" applyFont="1" applyFill="1" applyAlignment="1" applyProtection="1">
      <alignment vertical="center"/>
      <protection locked="0"/>
    </xf>
    <xf numFmtId="0" fontId="5" fillId="3" borderId="0" xfId="0" applyNumberFormat="1" applyFont="1" applyFill="1" applyBorder="1" applyAlignment="1" applyProtection="1">
      <alignment horizontal="center" vertical="center"/>
      <protection locked="0"/>
    </xf>
    <xf numFmtId="0" fontId="5" fillId="0" borderId="0" xfId="0" applyNumberFormat="1" applyFont="1" applyFill="1" applyBorder="1" applyAlignment="1" applyProtection="1">
      <alignment horizontal="center" vertical="center"/>
      <protection locked="0"/>
    </xf>
    <xf numFmtId="0" fontId="5" fillId="0" borderId="0" xfId="0" applyNumberFormat="1" applyFont="1" applyFill="1" applyBorder="1" applyAlignment="1" applyProtection="1">
      <alignment horizontal="left" vertical="center"/>
      <protection locked="0"/>
    </xf>
    <xf numFmtId="0" fontId="6" fillId="0" borderId="0" xfId="0" applyNumberFormat="1" applyFont="1" applyFill="1" applyBorder="1" applyAlignment="1" applyProtection="1">
      <alignment horizontal="center" vertical="center"/>
      <protection locked="0"/>
    </xf>
    <xf numFmtId="0" fontId="6" fillId="0" borderId="0" xfId="0" applyNumberFormat="1" applyFont="1" applyFill="1" applyBorder="1" applyAlignment="1" applyProtection="1">
      <alignment horizontal="left" vertical="center"/>
      <protection locked="0"/>
    </xf>
    <xf numFmtId="0" fontId="6" fillId="0" borderId="0" xfId="0" applyNumberFormat="1" applyFont="1" applyFill="1" applyBorder="1" applyAlignment="1" applyProtection="1">
      <alignment horizontal="right" vertical="center"/>
      <protection locked="0"/>
    </xf>
    <xf numFmtId="0" fontId="6" fillId="0" borderId="0" xfId="0" applyNumberFormat="1" applyFont="1" applyFill="1" applyBorder="1" applyAlignment="1" applyProtection="1">
      <alignment vertical="center"/>
      <protection locked="0"/>
    </xf>
    <xf numFmtId="0" fontId="6" fillId="0" borderId="0" xfId="0" applyNumberFormat="1" applyFont="1" applyFill="1" applyAlignment="1" applyProtection="1">
      <alignment vertical="center"/>
      <protection locked="0"/>
    </xf>
    <xf numFmtId="0" fontId="7" fillId="0" borderId="0" xfId="0" applyNumberFormat="1" applyFont="1" applyFill="1" applyAlignment="1" applyProtection="1">
      <alignment vertical="center"/>
      <protection locked="0"/>
    </xf>
    <xf numFmtId="0" fontId="7" fillId="0" borderId="0" xfId="0" applyNumberFormat="1" applyFont="1" applyFill="1" applyAlignment="1" applyProtection="1">
      <alignment horizontal="center" vertical="center"/>
      <protection locked="0"/>
    </xf>
    <xf numFmtId="0" fontId="7" fillId="0" borderId="0" xfId="0" applyNumberFormat="1" applyFont="1" applyFill="1" applyAlignment="1" applyProtection="1">
      <alignment horizontal="left" vertical="center"/>
      <protection locked="0"/>
    </xf>
    <xf numFmtId="0" fontId="6" fillId="0" borderId="0" xfId="0" applyNumberFormat="1" applyFont="1" applyFill="1" applyAlignment="1" applyProtection="1">
      <alignment horizontal="center" vertical="center"/>
      <protection locked="0"/>
    </xf>
    <xf numFmtId="0" fontId="9" fillId="0" borderId="0" xfId="0" applyNumberFormat="1" applyFont="1" applyFill="1" applyAlignment="1" applyProtection="1">
      <alignment horizontal="center" vertical="center"/>
      <protection locked="0"/>
    </xf>
    <xf numFmtId="0" fontId="8" fillId="0" borderId="0" xfId="0" applyNumberFormat="1" applyFont="1" applyFill="1" applyAlignment="1" applyProtection="1">
      <alignment horizontal="center" vertical="center"/>
      <protection locked="0"/>
    </xf>
    <xf numFmtId="0" fontId="10" fillId="0" borderId="0" xfId="0" applyNumberFormat="1" applyFont="1" applyFill="1" applyAlignment="1" applyProtection="1">
      <alignment horizontal="center" vertical="center"/>
      <protection locked="0"/>
    </xf>
    <xf numFmtId="0" fontId="8" fillId="0" borderId="0" xfId="0" applyNumberFormat="1" applyFont="1" applyFill="1" applyBorder="1" applyAlignment="1" applyProtection="1">
      <alignment horizontal="center" vertical="center"/>
      <protection locked="0"/>
    </xf>
    <xf numFmtId="0" fontId="7" fillId="0" borderId="0" xfId="0" applyNumberFormat="1" applyFont="1" applyFill="1" applyBorder="1" applyAlignment="1" applyProtection="1">
      <alignment vertical="center"/>
      <protection locked="0"/>
    </xf>
    <xf numFmtId="0" fontId="11" fillId="0" borderId="0" xfId="0" applyNumberFormat="1" applyFont="1" applyFill="1" applyBorder="1" applyAlignment="1" applyProtection="1">
      <alignment horizontal="center" vertical="center"/>
      <protection locked="0"/>
    </xf>
    <xf numFmtId="0" fontId="7" fillId="4" borderId="0" xfId="0" applyNumberFormat="1" applyFont="1" applyFill="1" applyAlignment="1" applyProtection="1">
      <alignment horizontal="center" vertical="center"/>
      <protection locked="0"/>
    </xf>
    <xf numFmtId="0" fontId="12" fillId="4" borderId="0" xfId="0"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center" vertical="center"/>
      <protection locked="0"/>
    </xf>
    <xf numFmtId="0" fontId="14" fillId="0" borderId="0" xfId="0" applyNumberFormat="1" applyFont="1" applyFill="1" applyAlignment="1" applyProtection="1">
      <alignment horizontal="center" vertical="center"/>
      <protection locked="0"/>
    </xf>
    <xf numFmtId="0" fontId="7" fillId="0" borderId="0" xfId="0" applyNumberFormat="1" applyFont="1" applyFill="1" applyBorder="1" applyAlignment="1" applyProtection="1">
      <alignment horizontal="center" vertical="center"/>
      <protection locked="0"/>
    </xf>
    <xf numFmtId="0" fontId="7" fillId="5" borderId="2" xfId="0" applyFont="1" applyFill="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4" borderId="2" xfId="0" applyFont="1" applyFill="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17" fillId="0" borderId="2" xfId="0" quotePrefix="1" applyNumberFormat="1" applyFont="1" applyFill="1" applyBorder="1" applyAlignment="1" applyProtection="1">
      <alignment horizontal="center" vertical="center"/>
    </xf>
    <xf numFmtId="0" fontId="17" fillId="0" borderId="2" xfId="0" quotePrefix="1" applyNumberFormat="1" applyFont="1" applyFill="1" applyBorder="1" applyAlignment="1" applyProtection="1">
      <alignment horizontal="left" vertical="center"/>
    </xf>
    <xf numFmtId="0" fontId="6" fillId="0" borderId="2" xfId="0" quotePrefix="1" applyNumberFormat="1" applyFont="1" applyFill="1" applyBorder="1" applyAlignment="1" applyProtection="1">
      <alignment horizontal="left" vertical="center"/>
      <protection locked="0"/>
    </xf>
    <xf numFmtId="0" fontId="17" fillId="0" borderId="3" xfId="0" applyNumberFormat="1" applyFont="1" applyFill="1" applyBorder="1" applyAlignment="1" applyProtection="1">
      <alignment horizontal="left" vertical="center"/>
    </xf>
    <xf numFmtId="0" fontId="7" fillId="0" borderId="0" xfId="0" applyNumberFormat="1" applyFont="1" applyFill="1" applyBorder="1" applyAlignment="1" applyProtection="1">
      <alignment horizontal="left" vertical="center"/>
    </xf>
    <xf numFmtId="0" fontId="14" fillId="0" borderId="0" xfId="0" applyNumberFormat="1" applyFont="1" applyFill="1" applyBorder="1" applyAlignment="1" applyProtection="1">
      <alignment vertical="center"/>
      <protection locked="0"/>
    </xf>
    <xf numFmtId="0" fontId="7" fillId="0" borderId="0" xfId="0" applyNumberFormat="1" applyFont="1" applyFill="1" applyBorder="1" applyAlignment="1" applyProtection="1">
      <alignment horizontal="left" vertical="center"/>
      <protection locked="0"/>
    </xf>
    <xf numFmtId="0" fontId="14" fillId="0" borderId="0" xfId="0" applyNumberFormat="1" applyFont="1" applyFill="1" applyAlignment="1" applyProtection="1">
      <alignment vertical="center"/>
      <protection locked="0"/>
    </xf>
    <xf numFmtId="0" fontId="7" fillId="5" borderId="5" xfId="0" applyFont="1" applyFill="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4" borderId="5" xfId="0" applyFont="1" applyFill="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17" fillId="0" borderId="0" xfId="0" quotePrefix="1" applyNumberFormat="1" applyFont="1" applyFill="1" applyBorder="1" applyAlignment="1" applyProtection="1">
      <alignment horizontal="center" vertical="center"/>
    </xf>
    <xf numFmtId="0" fontId="17" fillId="0" borderId="5" xfId="0" applyNumberFormat="1" applyFont="1" applyFill="1" applyBorder="1" applyAlignment="1" applyProtection="1">
      <alignment horizontal="left" vertical="center"/>
    </xf>
    <xf numFmtId="0" fontId="6" fillId="0" borderId="5" xfId="0" applyNumberFormat="1" applyFont="1" applyFill="1" applyBorder="1" applyAlignment="1" applyProtection="1">
      <alignment horizontal="left" vertical="center"/>
      <protection locked="0"/>
    </xf>
    <xf numFmtId="0" fontId="17" fillId="0" borderId="6" xfId="0" applyNumberFormat="1" applyFont="1" applyFill="1" applyBorder="1" applyAlignment="1" applyProtection="1">
      <alignment horizontal="left" vertical="center"/>
    </xf>
    <xf numFmtId="0" fontId="5" fillId="3" borderId="5" xfId="0" applyNumberFormat="1" applyFont="1" applyFill="1" applyBorder="1" applyAlignment="1" applyProtection="1">
      <alignment horizontal="center" vertical="center"/>
      <protection locked="0"/>
    </xf>
    <xf numFmtId="0" fontId="7" fillId="0" borderId="5" xfId="0" applyNumberFormat="1" applyFont="1" applyFill="1" applyBorder="1" applyAlignment="1" applyProtection="1">
      <alignment horizontal="left" vertical="center"/>
    </xf>
    <xf numFmtId="0" fontId="7" fillId="6" borderId="2" xfId="0" applyFont="1" applyFill="1" applyBorder="1" applyAlignment="1" applyProtection="1">
      <alignment horizontal="center" vertical="center"/>
      <protection locked="0"/>
    </xf>
    <xf numFmtId="0" fontId="15" fillId="5" borderId="2" xfId="0" applyFont="1" applyFill="1" applyBorder="1" applyAlignment="1" applyProtection="1">
      <alignment horizontal="center" vertical="center"/>
      <protection locked="0"/>
    </xf>
    <xf numFmtId="0" fontId="15" fillId="4" borderId="2" xfId="0" applyFont="1" applyFill="1" applyBorder="1" applyAlignment="1" applyProtection="1">
      <alignment horizontal="center" vertical="center"/>
      <protection locked="0"/>
    </xf>
    <xf numFmtId="0" fontId="15" fillId="7" borderId="2" xfId="0" applyFont="1" applyFill="1" applyBorder="1" applyAlignment="1" applyProtection="1">
      <alignment horizontal="center" vertical="center"/>
      <protection locked="0"/>
    </xf>
    <xf numFmtId="0" fontId="7" fillId="0" borderId="2" xfId="0" quotePrefix="1"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left" vertical="center"/>
    </xf>
    <xf numFmtId="0" fontId="6" fillId="0" borderId="2" xfId="0" applyNumberFormat="1" applyFont="1" applyFill="1" applyBorder="1" applyAlignment="1" applyProtection="1">
      <alignment horizontal="left" vertical="center"/>
      <protection locked="0"/>
    </xf>
    <xf numFmtId="0" fontId="7" fillId="0" borderId="3" xfId="0" applyNumberFormat="1" applyFont="1" applyFill="1" applyBorder="1" applyAlignment="1" applyProtection="1">
      <alignment horizontal="left" vertical="center"/>
    </xf>
    <xf numFmtId="0" fontId="7" fillId="0" borderId="3" xfId="0" applyNumberFormat="1" applyFont="1" applyFill="1" applyBorder="1" applyAlignment="1" applyProtection="1">
      <alignment horizontal="left" vertical="center"/>
      <protection locked="0"/>
    </xf>
    <xf numFmtId="0" fontId="7" fillId="6" borderId="5" xfId="0" applyFont="1" applyFill="1" applyBorder="1" applyAlignment="1" applyProtection="1">
      <alignment horizontal="center" vertical="center"/>
      <protection locked="0"/>
    </xf>
    <xf numFmtId="0" fontId="15" fillId="5" borderId="5" xfId="0" applyFont="1" applyFill="1" applyBorder="1" applyAlignment="1" applyProtection="1">
      <alignment horizontal="center" vertical="center"/>
      <protection locked="0"/>
    </xf>
    <xf numFmtId="0" fontId="15" fillId="4" borderId="5" xfId="0" applyFont="1" applyFill="1" applyBorder="1" applyAlignment="1" applyProtection="1">
      <alignment horizontal="center" vertical="center"/>
      <protection locked="0"/>
    </xf>
    <xf numFmtId="0" fontId="15" fillId="7" borderId="5" xfId="0" applyFont="1" applyFill="1" applyBorder="1" applyAlignment="1" applyProtection="1">
      <alignment horizontal="center" vertical="center"/>
      <protection locked="0"/>
    </xf>
    <xf numFmtId="0" fontId="7" fillId="0" borderId="0" xfId="0" quotePrefix="1" applyNumberFormat="1" applyFont="1" applyFill="1" applyBorder="1" applyAlignment="1" applyProtection="1">
      <alignment horizontal="center" vertical="center"/>
    </xf>
    <xf numFmtId="0" fontId="7" fillId="0" borderId="6" xfId="0" applyNumberFormat="1" applyFont="1" applyFill="1" applyBorder="1" applyAlignment="1" applyProtection="1">
      <alignment horizontal="left" vertical="center"/>
    </xf>
    <xf numFmtId="0" fontId="7" fillId="0" borderId="6" xfId="0" applyNumberFormat="1" applyFont="1" applyFill="1" applyBorder="1" applyAlignment="1" applyProtection="1">
      <alignment horizontal="left" vertical="center"/>
      <protection locked="0"/>
    </xf>
    <xf numFmtId="0" fontId="5" fillId="3" borderId="4" xfId="0" applyNumberFormat="1"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7" fillId="2" borderId="2" xfId="0" applyNumberFormat="1" applyFont="1" applyFill="1" applyBorder="1" applyAlignment="1" applyProtection="1">
      <alignment horizontal="left" vertical="center"/>
    </xf>
    <xf numFmtId="0" fontId="6" fillId="2" borderId="2" xfId="0" applyNumberFormat="1" applyFont="1" applyFill="1" applyBorder="1" applyAlignment="1" applyProtection="1">
      <alignment horizontal="left" vertical="center"/>
      <protection locked="0"/>
    </xf>
    <xf numFmtId="0" fontId="7" fillId="2" borderId="3"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7" fillId="8" borderId="0" xfId="0" applyNumberFormat="1" applyFont="1" applyFill="1" applyBorder="1" applyAlignment="1" applyProtection="1">
      <alignment horizontal="left" vertical="center"/>
    </xf>
    <xf numFmtId="0" fontId="7" fillId="2" borderId="5" xfId="0" applyNumberFormat="1" applyFont="1" applyFill="1" applyBorder="1" applyAlignment="1" applyProtection="1">
      <alignment horizontal="left" vertical="center"/>
    </xf>
    <xf numFmtId="0" fontId="6" fillId="2" borderId="5" xfId="0" applyNumberFormat="1" applyFont="1" applyFill="1" applyBorder="1" applyAlignment="1" applyProtection="1">
      <alignment horizontal="left" vertical="center"/>
      <protection locked="0"/>
    </xf>
    <xf numFmtId="0" fontId="7" fillId="2" borderId="8" xfId="0" applyNumberFormat="1" applyFont="1" applyFill="1" applyBorder="1" applyAlignment="1" applyProtection="1">
      <alignment horizontal="left" vertical="center"/>
    </xf>
    <xf numFmtId="0" fontId="7" fillId="8" borderId="5" xfId="0" applyNumberFormat="1" applyFont="1" applyFill="1" applyBorder="1" applyAlignment="1" applyProtection="1">
      <alignment horizontal="left" vertical="center"/>
    </xf>
    <xf numFmtId="0" fontId="15" fillId="0" borderId="2" xfId="0" applyFont="1" applyBorder="1" applyAlignment="1" applyProtection="1">
      <alignment horizontal="center" vertical="center"/>
      <protection locked="0"/>
    </xf>
    <xf numFmtId="0" fontId="7" fillId="8" borderId="0" xfId="0" applyNumberFormat="1" applyFont="1" applyFill="1" applyBorder="1" applyAlignment="1" applyProtection="1">
      <alignment horizontal="left" vertical="center"/>
      <protection locked="0"/>
    </xf>
    <xf numFmtId="0" fontId="15" fillId="0" borderId="5" xfId="0" applyFont="1" applyBorder="1" applyAlignment="1" applyProtection="1">
      <alignment horizontal="center" vertical="center"/>
      <protection locked="0"/>
    </xf>
    <xf numFmtId="0" fontId="5" fillId="0" borderId="1" xfId="0" applyNumberFormat="1" applyFont="1" applyFill="1" applyBorder="1" applyAlignment="1" applyProtection="1">
      <alignment horizontal="center" vertical="center"/>
      <protection locked="0"/>
    </xf>
    <xf numFmtId="0" fontId="7" fillId="0" borderId="8" xfId="0" applyNumberFormat="1" applyFont="1" applyFill="1" applyBorder="1" applyAlignment="1" applyProtection="1">
      <alignment horizontal="left" vertical="center"/>
    </xf>
    <xf numFmtId="0" fontId="15" fillId="0" borderId="2" xfId="0" applyFont="1" applyFill="1" applyBorder="1" applyAlignment="1" applyProtection="1">
      <alignment horizontal="left" vertical="center"/>
      <protection locked="0"/>
    </xf>
    <xf numFmtId="0" fontId="17" fillId="2" borderId="2" xfId="0" applyNumberFormat="1" applyFont="1" applyFill="1" applyBorder="1" applyAlignment="1" applyProtection="1">
      <alignment horizontal="left" vertical="center"/>
    </xf>
    <xf numFmtId="0" fontId="17" fillId="2" borderId="3" xfId="0" applyNumberFormat="1" applyFont="1" applyFill="1" applyBorder="1" applyAlignment="1" applyProtection="1">
      <alignment horizontal="left" vertical="center"/>
    </xf>
    <xf numFmtId="0" fontId="7" fillId="0" borderId="5" xfId="0" applyFont="1" applyFill="1" applyBorder="1" applyAlignment="1" applyProtection="1">
      <alignment horizontal="center" vertical="center"/>
      <protection locked="0"/>
    </xf>
    <xf numFmtId="0" fontId="15" fillId="0" borderId="5" xfId="0" applyFont="1" applyFill="1" applyBorder="1" applyAlignment="1" applyProtection="1">
      <alignment horizontal="left" vertical="center"/>
      <protection locked="0"/>
    </xf>
    <xf numFmtId="0" fontId="17" fillId="2" borderId="5" xfId="0" applyNumberFormat="1" applyFont="1" applyFill="1" applyBorder="1" applyAlignment="1" applyProtection="1">
      <alignment horizontal="left" vertical="center"/>
    </xf>
    <xf numFmtId="0" fontId="17" fillId="2" borderId="8" xfId="0" applyNumberFormat="1" applyFont="1" applyFill="1" applyBorder="1" applyAlignment="1" applyProtection="1">
      <alignment horizontal="left" vertical="center"/>
    </xf>
    <xf numFmtId="0" fontId="17" fillId="0" borderId="0" xfId="0" quotePrefix="1" applyNumberFormat="1" applyFont="1" applyFill="1" applyBorder="1" applyAlignment="1" applyProtection="1">
      <alignment horizontal="left" vertical="center"/>
      <protection locked="0"/>
    </xf>
    <xf numFmtId="0" fontId="5" fillId="0" borderId="0" xfId="0" applyNumberFormat="1" applyFont="1" applyFill="1" applyAlignment="1" applyProtection="1">
      <alignment horizontal="center" vertical="center"/>
      <protection locked="0"/>
    </xf>
    <xf numFmtId="0" fontId="7" fillId="0" borderId="0" xfId="0" quotePrefix="1" applyNumberFormat="1" applyFont="1" applyFill="1" applyAlignment="1" applyProtection="1">
      <alignment vertical="center"/>
      <protection locked="0"/>
    </xf>
    <xf numFmtId="0" fontId="18" fillId="0" borderId="0" xfId="0" applyNumberFormat="1" applyFont="1" applyFill="1" applyAlignment="1" applyProtection="1">
      <alignment vertical="center"/>
      <protection locked="0"/>
    </xf>
    <xf numFmtId="0" fontId="18" fillId="0" borderId="0" xfId="0" applyNumberFormat="1" applyFont="1" applyFill="1" applyAlignment="1" applyProtection="1">
      <alignment horizontal="center" vertical="center"/>
      <protection locked="0"/>
    </xf>
    <xf numFmtId="0" fontId="18" fillId="0" borderId="0" xfId="0" applyNumberFormat="1" applyFont="1" applyFill="1" applyAlignment="1" applyProtection="1">
      <alignment horizontal="left" vertical="center"/>
      <protection locked="0"/>
    </xf>
    <xf numFmtId="0" fontId="19" fillId="0" borderId="0" xfId="0" applyNumberFormat="1" applyFont="1" applyFill="1" applyBorder="1" applyAlignment="1" applyProtection="1">
      <alignment horizontal="left" vertical="center"/>
      <protection locked="0"/>
    </xf>
    <xf numFmtId="0" fontId="20" fillId="0" borderId="0" xfId="0" applyNumberFormat="1" applyFont="1" applyFill="1" applyAlignment="1" applyProtection="1">
      <alignment horizontal="center" vertical="center"/>
      <protection locked="0"/>
    </xf>
    <xf numFmtId="0" fontId="20" fillId="0" borderId="0" xfId="0" applyNumberFormat="1" applyFont="1" applyFill="1" applyAlignment="1" applyProtection="1">
      <alignment vertical="center"/>
      <protection locked="0"/>
    </xf>
    <xf numFmtId="0" fontId="21" fillId="0" borderId="0" xfId="0" applyNumberFormat="1" applyFont="1" applyFill="1" applyAlignment="1" applyProtection="1">
      <alignment vertical="center"/>
      <protection locked="0"/>
    </xf>
    <xf numFmtId="0" fontId="18" fillId="0" borderId="0" xfId="0" applyNumberFormat="1" applyFont="1" applyFill="1" applyBorder="1" applyAlignment="1" applyProtection="1">
      <alignment vertical="center"/>
      <protection locked="0"/>
    </xf>
    <xf numFmtId="0" fontId="7" fillId="9" borderId="2" xfId="0" applyFont="1" applyFill="1" applyBorder="1" applyAlignment="1" applyProtection="1">
      <alignment horizontal="center" vertical="center"/>
      <protection locked="0"/>
    </xf>
    <xf numFmtId="0" fontId="15" fillId="9" borderId="2" xfId="0" applyFont="1" applyFill="1" applyBorder="1" applyAlignment="1" applyProtection="1">
      <alignment horizontal="center" vertical="center"/>
      <protection locked="0"/>
    </xf>
    <xf numFmtId="0" fontId="7" fillId="9" borderId="2" xfId="0" quotePrefix="1" applyNumberFormat="1" applyFont="1" applyFill="1" applyBorder="1" applyAlignment="1" applyProtection="1">
      <alignment horizontal="center" vertical="center"/>
    </xf>
    <xf numFmtId="0" fontId="7" fillId="9" borderId="2" xfId="0" applyNumberFormat="1" applyFont="1" applyFill="1" applyBorder="1" applyAlignment="1" applyProtection="1">
      <alignment horizontal="left" vertical="center"/>
    </xf>
    <xf numFmtId="0" fontId="6" fillId="9" borderId="2" xfId="0" applyNumberFormat="1" applyFont="1" applyFill="1" applyBorder="1" applyAlignment="1" applyProtection="1">
      <alignment horizontal="left" vertical="center"/>
      <protection locked="0"/>
    </xf>
    <xf numFmtId="0" fontId="7" fillId="9" borderId="3" xfId="0" applyNumberFormat="1" applyFont="1" applyFill="1" applyBorder="1" applyAlignment="1" applyProtection="1">
      <alignment horizontal="left" vertical="center"/>
    </xf>
    <xf numFmtId="0" fontId="7" fillId="9" borderId="5" xfId="0" applyFont="1" applyFill="1" applyBorder="1" applyAlignment="1" applyProtection="1">
      <alignment horizontal="center" vertical="center"/>
      <protection locked="0"/>
    </xf>
    <xf numFmtId="0" fontId="15" fillId="9" borderId="5" xfId="0" applyFont="1" applyFill="1" applyBorder="1" applyAlignment="1" applyProtection="1">
      <alignment horizontal="center" vertical="center"/>
      <protection locked="0"/>
    </xf>
    <xf numFmtId="0" fontId="7" fillId="9" borderId="0" xfId="0" quotePrefix="1" applyNumberFormat="1" applyFont="1" applyFill="1" applyBorder="1" applyAlignment="1" applyProtection="1">
      <alignment horizontal="center" vertical="center"/>
    </xf>
    <xf numFmtId="0" fontId="7" fillId="9" borderId="0" xfId="0" applyNumberFormat="1" applyFont="1" applyFill="1" applyBorder="1" applyAlignment="1" applyProtection="1">
      <alignment horizontal="left" vertical="center"/>
    </xf>
    <xf numFmtId="0" fontId="6" fillId="9" borderId="0" xfId="0" applyNumberFormat="1" applyFont="1" applyFill="1" applyBorder="1" applyAlignment="1" applyProtection="1">
      <alignment horizontal="left" vertical="center"/>
      <protection locked="0"/>
    </xf>
    <xf numFmtId="0" fontId="7" fillId="9" borderId="6" xfId="0" applyNumberFormat="1" applyFont="1" applyFill="1" applyBorder="1" applyAlignment="1" applyProtection="1">
      <alignment horizontal="left" vertical="center"/>
    </xf>
    <xf numFmtId="0" fontId="7" fillId="9" borderId="5" xfId="0" quotePrefix="1" applyNumberFormat="1" applyFont="1" applyFill="1" applyBorder="1" applyAlignment="1" applyProtection="1">
      <alignment horizontal="center" vertical="center"/>
    </xf>
    <xf numFmtId="0" fontId="7" fillId="9" borderId="5" xfId="0" applyNumberFormat="1" applyFont="1" applyFill="1" applyBorder="1" applyAlignment="1" applyProtection="1">
      <alignment horizontal="left" vertical="center"/>
    </xf>
    <xf numFmtId="0" fontId="6" fillId="9" borderId="5" xfId="0" applyNumberFormat="1" applyFont="1" applyFill="1" applyBorder="1" applyAlignment="1" applyProtection="1">
      <alignment horizontal="left" vertical="center"/>
      <protection locked="0"/>
    </xf>
    <xf numFmtId="0" fontId="7" fillId="9" borderId="8" xfId="0" applyNumberFormat="1" applyFont="1" applyFill="1" applyBorder="1" applyAlignment="1" applyProtection="1">
      <alignment horizontal="left" vertical="center"/>
    </xf>
    <xf numFmtId="0" fontId="15" fillId="9" borderId="2" xfId="0" applyFont="1" applyFill="1" applyBorder="1" applyAlignment="1" applyProtection="1">
      <alignment horizontal="left" vertical="center"/>
      <protection locked="0"/>
    </xf>
    <xf numFmtId="0" fontId="17" fillId="9" borderId="2" xfId="0" quotePrefix="1" applyNumberFormat="1" applyFont="1" applyFill="1" applyBorder="1" applyAlignment="1" applyProtection="1">
      <alignment horizontal="center" vertical="center"/>
    </xf>
    <xf numFmtId="0" fontId="17" fillId="9" borderId="2" xfId="0" applyNumberFormat="1" applyFont="1" applyFill="1" applyBorder="1" applyAlignment="1" applyProtection="1">
      <alignment horizontal="left" vertical="center"/>
    </xf>
    <xf numFmtId="0" fontId="17" fillId="9" borderId="3" xfId="0" applyNumberFormat="1" applyFont="1" applyFill="1" applyBorder="1" applyAlignment="1" applyProtection="1">
      <alignment horizontal="left" vertical="center"/>
    </xf>
    <xf numFmtId="0" fontId="15" fillId="9" borderId="5" xfId="0" applyFont="1" applyFill="1" applyBorder="1" applyAlignment="1" applyProtection="1">
      <alignment horizontal="left" vertical="center"/>
      <protection locked="0"/>
    </xf>
    <xf numFmtId="0" fontId="17" fillId="9" borderId="5" xfId="0" quotePrefix="1" applyNumberFormat="1" applyFont="1" applyFill="1" applyBorder="1" applyAlignment="1" applyProtection="1">
      <alignment horizontal="center" vertical="center"/>
    </xf>
    <xf numFmtId="0" fontId="17" fillId="9" borderId="5" xfId="0" applyNumberFormat="1" applyFont="1" applyFill="1" applyBorder="1" applyAlignment="1" applyProtection="1">
      <alignment horizontal="left" vertical="center"/>
    </xf>
    <xf numFmtId="0" fontId="17" fillId="9" borderId="8" xfId="0" applyNumberFormat="1" applyFont="1" applyFill="1" applyBorder="1" applyAlignment="1" applyProtection="1">
      <alignment horizontal="left" vertical="center"/>
    </xf>
    <xf numFmtId="0" fontId="7" fillId="0" borderId="0" xfId="0" applyNumberFormat="1" applyFont="1" applyFill="1" applyAlignment="1" applyProtection="1">
      <alignment horizontal="left" vertical="center"/>
    </xf>
    <xf numFmtId="0" fontId="24" fillId="0" borderId="0" xfId="0" applyNumberFormat="1" applyFont="1" applyFill="1" applyBorder="1" applyAlignment="1" applyProtection="1">
      <alignment horizontal="center" vertical="center"/>
    </xf>
    <xf numFmtId="0" fontId="24" fillId="9" borderId="0" xfId="0" applyNumberFormat="1" applyFont="1" applyFill="1" applyBorder="1" applyAlignment="1" applyProtection="1">
      <alignment horizontal="right" vertical="center"/>
    </xf>
    <xf numFmtId="0" fontId="14" fillId="3"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vertical="center"/>
    </xf>
    <xf numFmtId="0" fontId="7" fillId="0" borderId="0" xfId="0" applyNumberFormat="1" applyFont="1" applyFill="1" applyAlignment="1" applyProtection="1">
      <alignment horizontal="center" vertical="center"/>
    </xf>
    <xf numFmtId="0" fontId="7" fillId="0" borderId="0" xfId="0" applyNumberFormat="1" applyFont="1" applyFill="1" applyAlignment="1" applyProtection="1">
      <alignment vertical="center"/>
    </xf>
    <xf numFmtId="0" fontId="6" fillId="0" borderId="0" xfId="0" applyNumberFormat="1" applyFont="1" applyFill="1" applyAlignment="1" applyProtection="1">
      <alignment horizontal="center" vertical="center"/>
    </xf>
    <xf numFmtId="0" fontId="9" fillId="0" borderId="0" xfId="0" applyNumberFormat="1" applyFont="1" applyFill="1" applyAlignment="1" applyProtection="1">
      <alignment horizontal="left" vertical="center"/>
    </xf>
    <xf numFmtId="0" fontId="8" fillId="0" borderId="0" xfId="0" applyNumberFormat="1" applyFont="1" applyFill="1" applyAlignment="1" applyProtection="1">
      <alignment horizontal="center" vertical="center"/>
    </xf>
    <xf numFmtId="0" fontId="10" fillId="0" borderId="0" xfId="0" applyNumberFormat="1" applyFont="1" applyFill="1" applyAlignment="1" applyProtection="1">
      <alignment horizontal="left" vertical="center"/>
    </xf>
    <xf numFmtId="0" fontId="11" fillId="0" borderId="0" xfId="0" applyNumberFormat="1" applyFont="1" applyFill="1" applyBorder="1" applyAlignment="1" applyProtection="1">
      <alignment horizontal="center" vertical="center"/>
    </xf>
    <xf numFmtId="0" fontId="17" fillId="4" borderId="0" xfId="0" applyNumberFormat="1" applyFont="1" applyFill="1" applyAlignment="1" applyProtection="1">
      <alignment horizontal="center" vertical="center"/>
    </xf>
    <xf numFmtId="0" fontId="12" fillId="4" borderId="0"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horizontal="left" vertical="center"/>
    </xf>
    <xf numFmtId="0" fontId="12" fillId="4" borderId="0" xfId="0"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left" vertical="center"/>
    </xf>
    <xf numFmtId="0" fontId="14" fillId="0" borderId="0" xfId="0" applyNumberFormat="1" applyFont="1" applyFill="1" applyAlignment="1" applyProtection="1">
      <alignment horizontal="left" vertical="center"/>
    </xf>
    <xf numFmtId="0" fontId="7" fillId="10" borderId="2" xfId="0" applyNumberFormat="1"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17" fillId="10" borderId="2" xfId="0" applyNumberFormat="1" applyFont="1" applyFill="1" applyBorder="1" applyAlignment="1" applyProtection="1">
      <alignment horizontal="center" vertical="center"/>
    </xf>
    <xf numFmtId="0" fontId="25" fillId="10" borderId="2" xfId="0" applyNumberFormat="1" applyFont="1" applyFill="1" applyBorder="1" applyAlignment="1" applyProtection="1">
      <alignment horizontal="left" vertical="center"/>
    </xf>
    <xf numFmtId="0" fontId="17" fillId="10" borderId="2" xfId="0" applyNumberFormat="1" applyFont="1" applyFill="1" applyBorder="1" applyAlignment="1" applyProtection="1">
      <alignment horizontal="left" vertical="center"/>
    </xf>
    <xf numFmtId="0" fontId="17" fillId="10" borderId="3" xfId="0" applyNumberFormat="1" applyFont="1" applyFill="1" applyBorder="1" applyAlignment="1" applyProtection="1">
      <alignment horizontal="left" vertical="center"/>
    </xf>
    <xf numFmtId="0" fontId="14" fillId="0" borderId="0" xfId="0" applyNumberFormat="1" applyFont="1" applyFill="1" applyBorder="1" applyAlignment="1" applyProtection="1">
      <alignment horizontal="left" vertical="center"/>
    </xf>
    <xf numFmtId="0" fontId="7" fillId="10" borderId="5" xfId="0" applyNumberFormat="1" applyFont="1" applyFill="1" applyBorder="1" applyAlignment="1" applyProtection="1">
      <alignment horizontal="center" vertical="center"/>
    </xf>
    <xf numFmtId="0" fontId="7" fillId="11"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6" fillId="10" borderId="5" xfId="0" applyNumberFormat="1" applyFont="1" applyFill="1" applyBorder="1" applyAlignment="1" applyProtection="1">
      <alignment horizontal="left" vertical="center"/>
    </xf>
    <xf numFmtId="0" fontId="7" fillId="10" borderId="5" xfId="0" applyNumberFormat="1" applyFont="1" applyFill="1" applyBorder="1" applyAlignment="1" applyProtection="1">
      <alignment horizontal="left" vertical="center"/>
    </xf>
    <xf numFmtId="0" fontId="7" fillId="10" borderId="8" xfId="0" applyNumberFormat="1"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26" fillId="10" borderId="2" xfId="0" applyNumberFormat="1" applyFont="1" applyFill="1" applyBorder="1" applyAlignment="1" applyProtection="1">
      <alignment horizontal="left" vertical="center"/>
    </xf>
    <xf numFmtId="0" fontId="7" fillId="10" borderId="2" xfId="0" applyNumberFormat="1" applyFont="1" applyFill="1" applyBorder="1" applyAlignment="1" applyProtection="1">
      <alignment horizontal="left" vertical="center"/>
    </xf>
    <xf numFmtId="0" fontId="7" fillId="10" borderId="3" xfId="0" applyNumberFormat="1" applyFont="1" applyFill="1" applyBorder="1" applyAlignment="1" applyProtection="1">
      <alignment horizontal="left" vertical="center"/>
    </xf>
    <xf numFmtId="0" fontId="7" fillId="0" borderId="2" xfId="0" applyNumberFormat="1" applyFont="1" applyFill="1" applyBorder="1" applyAlignment="1" applyProtection="1">
      <alignment horizontal="center" vertical="center"/>
    </xf>
    <xf numFmtId="0" fontId="17" fillId="0" borderId="2" xfId="0" applyNumberFormat="1" applyFont="1" applyFill="1" applyBorder="1" applyAlignment="1" applyProtection="1">
      <alignment horizontal="center" vertical="center"/>
    </xf>
    <xf numFmtId="0" fontId="25" fillId="0" borderId="2" xfId="0" applyNumberFormat="1" applyFont="1" applyFill="1" applyBorder="1" applyAlignment="1" applyProtection="1">
      <alignment horizontal="left" vertical="center"/>
    </xf>
    <xf numFmtId="0" fontId="17" fillId="0" borderId="2" xfId="0" applyNumberFormat="1" applyFont="1" applyFill="1" applyBorder="1" applyAlignment="1" applyProtection="1">
      <alignment horizontal="left" vertical="center"/>
    </xf>
    <xf numFmtId="0" fontId="5" fillId="3" borderId="7" xfId="0" applyNumberFormat="1" applyFont="1" applyFill="1" applyBorder="1" applyAlignment="1" applyProtection="1">
      <alignment horizontal="center" vertical="center"/>
      <protection locked="0"/>
    </xf>
    <xf numFmtId="0" fontId="7" fillId="0" borderId="5" xfId="0" applyNumberFormat="1" applyFont="1" applyFill="1" applyBorder="1" applyAlignment="1" applyProtection="1">
      <alignment horizontal="center" vertical="center"/>
    </xf>
    <xf numFmtId="0" fontId="26" fillId="0" borderId="5" xfId="0" applyNumberFormat="1" applyFont="1" applyFill="1" applyBorder="1" applyAlignment="1" applyProtection="1">
      <alignment horizontal="left" vertical="center"/>
    </xf>
    <xf numFmtId="0" fontId="7" fillId="0" borderId="0" xfId="0" quotePrefix="1" applyFont="1" applyFill="1" applyBorder="1" applyAlignment="1" applyProtection="1">
      <alignment horizontal="center" vertical="center"/>
    </xf>
    <xf numFmtId="0" fontId="26" fillId="0" borderId="2" xfId="0" applyNumberFormat="1" applyFont="1" applyFill="1" applyBorder="1" applyAlignment="1" applyProtection="1">
      <alignment horizontal="left" vertical="center"/>
    </xf>
    <xf numFmtId="0" fontId="7" fillId="0" borderId="2" xfId="0" applyNumberFormat="1" applyFont="1" applyFill="1" applyBorder="1" applyAlignment="1" applyProtection="1">
      <alignment horizontal="left" vertical="center"/>
      <protection locked="0"/>
    </xf>
    <xf numFmtId="0" fontId="7" fillId="10" borderId="0" xfId="0" applyNumberFormat="1" applyFont="1" applyFill="1" applyBorder="1" applyAlignment="1" applyProtection="1">
      <alignment horizontal="center" vertical="center"/>
    </xf>
    <xf numFmtId="0" fontId="17" fillId="10" borderId="0" xfId="0" applyNumberFormat="1" applyFont="1" applyFill="1" applyBorder="1" applyAlignment="1" applyProtection="1">
      <alignment horizontal="center" vertical="center"/>
    </xf>
    <xf numFmtId="0" fontId="25" fillId="10" borderId="0" xfId="0" applyNumberFormat="1" applyFont="1" applyFill="1" applyBorder="1" applyAlignment="1" applyProtection="1">
      <alignment horizontal="left" vertical="center"/>
    </xf>
    <xf numFmtId="0" fontId="17" fillId="10" borderId="0" xfId="0" applyNumberFormat="1" applyFont="1" applyFill="1" applyBorder="1" applyAlignment="1" applyProtection="1">
      <alignment horizontal="left" vertical="center"/>
    </xf>
    <xf numFmtId="0" fontId="17" fillId="10" borderId="6" xfId="0" applyNumberFormat="1" applyFont="1" applyFill="1" applyBorder="1" applyAlignment="1" applyProtection="1">
      <alignment horizontal="left" vertical="center"/>
    </xf>
    <xf numFmtId="0" fontId="26" fillId="10" borderId="0" xfId="0" applyNumberFormat="1" applyFont="1" applyFill="1" applyBorder="1" applyAlignment="1" applyProtection="1">
      <alignment horizontal="left" vertical="center"/>
    </xf>
    <xf numFmtId="0" fontId="7" fillId="10" borderId="0" xfId="0" applyNumberFormat="1" applyFont="1" applyFill="1" applyBorder="1" applyAlignment="1" applyProtection="1">
      <alignment horizontal="left" vertical="center"/>
    </xf>
    <xf numFmtId="0" fontId="7" fillId="10" borderId="6" xfId="0" applyNumberFormat="1" applyFont="1" applyFill="1" applyBorder="1" applyAlignment="1" applyProtection="1">
      <alignment horizontal="left" vertical="center"/>
    </xf>
    <xf numFmtId="0" fontId="17" fillId="0" borderId="0" xfId="0" applyNumberFormat="1" applyFont="1" applyFill="1" applyBorder="1" applyAlignment="1" applyProtection="1">
      <alignment horizontal="center" vertical="center"/>
    </xf>
    <xf numFmtId="0" fontId="25" fillId="0" borderId="0" xfId="0" applyNumberFormat="1" applyFont="1" applyFill="1" applyBorder="1" applyAlignment="1" applyProtection="1">
      <alignment horizontal="left" vertical="center"/>
    </xf>
    <xf numFmtId="0" fontId="17" fillId="0" borderId="0" xfId="0" applyNumberFormat="1" applyFont="1" applyFill="1" applyBorder="1" applyAlignment="1" applyProtection="1">
      <alignment horizontal="left" vertical="center"/>
    </xf>
    <xf numFmtId="0" fontId="14" fillId="0" borderId="1" xfId="0" applyNumberFormat="1" applyFont="1" applyFill="1" applyBorder="1" applyAlignment="1" applyProtection="1">
      <alignment vertical="center"/>
      <protection locked="0"/>
    </xf>
    <xf numFmtId="0" fontId="26" fillId="0" borderId="0" xfId="0" applyNumberFormat="1" applyFont="1" applyFill="1" applyBorder="1" applyAlignment="1" applyProtection="1">
      <alignment horizontal="left" vertical="center"/>
    </xf>
    <xf numFmtId="0" fontId="5" fillId="0" borderId="1" xfId="0" applyNumberFormat="1" applyFont="1" applyFill="1" applyBorder="1" applyAlignment="1" applyProtection="1">
      <alignment horizontal="left" vertical="center"/>
      <protection locked="0"/>
    </xf>
    <xf numFmtId="0" fontId="6" fillId="0" borderId="0" xfId="0" applyNumberFormat="1" applyFont="1" applyFill="1" applyAlignment="1" applyProtection="1">
      <alignment horizontal="left" vertical="center"/>
    </xf>
    <xf numFmtId="0" fontId="5" fillId="0" borderId="0" xfId="0" applyNumberFormat="1" applyFont="1" applyFill="1" applyAlignment="1" applyProtection="1">
      <alignment horizontal="left" vertical="center"/>
    </xf>
    <xf numFmtId="0" fontId="7" fillId="0" borderId="0" xfId="0" quotePrefix="1" applyNumberFormat="1" applyFont="1" applyFill="1" applyAlignment="1" applyProtection="1">
      <alignment horizontal="left" vertical="center"/>
    </xf>
    <xf numFmtId="0" fontId="27" fillId="0" borderId="0" xfId="0" applyNumberFormat="1" applyFont="1" applyFill="1" applyAlignment="1" applyProtection="1">
      <alignment horizontal="left" vertical="center"/>
    </xf>
    <xf numFmtId="0" fontId="28" fillId="0" borderId="0" xfId="0" applyNumberFormat="1" applyFont="1" applyFill="1" applyAlignment="1" applyProtection="1">
      <alignment horizontal="right" vertical="center"/>
    </xf>
    <xf numFmtId="0" fontId="29" fillId="0" borderId="0" xfId="0" applyNumberFormat="1" applyFont="1" applyFill="1" applyAlignment="1" applyProtection="1">
      <alignment horizontal="left" vertical="center"/>
    </xf>
    <xf numFmtId="0" fontId="17" fillId="0" borderId="0" xfId="0" applyNumberFormat="1" applyFont="1" applyFill="1" applyAlignment="1" applyProtection="1">
      <alignment horizontal="left" vertical="center"/>
    </xf>
    <xf numFmtId="0" fontId="30" fillId="0" borderId="0" xfId="0" applyNumberFormat="1" applyFont="1" applyFill="1" applyBorder="1" applyAlignment="1" applyProtection="1">
      <alignment horizontal="left" vertical="center"/>
    </xf>
    <xf numFmtId="0" fontId="31" fillId="0" borderId="0" xfId="0" quotePrefix="1" applyNumberFormat="1" applyFont="1" applyFill="1" applyBorder="1" applyAlignment="1" applyProtection="1">
      <alignment horizontal="left" vertical="center"/>
    </xf>
    <xf numFmtId="0" fontId="6" fillId="0" borderId="0" xfId="0" applyNumberFormat="1" applyFont="1" applyFill="1" applyBorder="1" applyAlignment="1" applyProtection="1">
      <alignment horizontal="left" vertical="center"/>
    </xf>
    <xf numFmtId="0" fontId="26" fillId="0" borderId="0" xfId="0" applyFont="1" applyBorder="1" applyAlignment="1" applyProtection="1">
      <alignment vertical="center"/>
    </xf>
    <xf numFmtId="0" fontId="2" fillId="0" borderId="0" xfId="0" quotePrefix="1" applyNumberFormat="1" applyFont="1" applyFill="1" applyBorder="1" applyAlignment="1" applyProtection="1">
      <alignment vertical="center"/>
      <protection locked="0"/>
    </xf>
    <xf numFmtId="0" fontId="3" fillId="2" borderId="0"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vertical="center"/>
      <protection locked="0"/>
    </xf>
    <xf numFmtId="0" fontId="5" fillId="0" borderId="0" xfId="0" applyNumberFormat="1" applyFont="1" applyFill="1" applyBorder="1" applyAlignment="1" applyProtection="1">
      <alignment horizontal="right" vertical="center"/>
      <protection locked="0"/>
    </xf>
    <xf numFmtId="0" fontId="10" fillId="0" borderId="0" xfId="0" applyNumberFormat="1" applyFont="1" applyFill="1" applyBorder="1" applyAlignment="1" applyProtection="1">
      <alignment horizontal="center" vertical="center"/>
      <protection locked="0"/>
    </xf>
    <xf numFmtId="0" fontId="6" fillId="4" borderId="0" xfId="0"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17" fillId="0" borderId="5" xfId="0" applyNumberFormat="1" applyFont="1" applyFill="1" applyBorder="1" applyAlignment="1" applyProtection="1">
      <alignment horizontal="center" vertical="center"/>
    </xf>
    <xf numFmtId="0" fontId="17" fillId="0" borderId="8" xfId="0" applyNumberFormat="1" applyFont="1" applyFill="1" applyBorder="1" applyAlignment="1" applyProtection="1">
      <alignment horizontal="left" vertical="center"/>
    </xf>
    <xf numFmtId="0" fontId="15" fillId="4" borderId="2" xfId="0" applyFont="1" applyFill="1" applyBorder="1" applyAlignment="1" applyProtection="1">
      <alignment horizontal="left" vertical="center"/>
      <protection locked="0"/>
    </xf>
    <xf numFmtId="0" fontId="15" fillId="7" borderId="2" xfId="0" applyFont="1" applyFill="1" applyBorder="1" applyAlignment="1" applyProtection="1">
      <alignment horizontal="left" vertical="center"/>
      <protection locked="0"/>
    </xf>
    <xf numFmtId="0" fontId="15" fillId="4" borderId="5" xfId="0" applyFont="1" applyFill="1" applyBorder="1" applyAlignment="1" applyProtection="1">
      <alignment horizontal="left" vertical="center"/>
      <protection locked="0"/>
    </xf>
    <xf numFmtId="0" fontId="15" fillId="7" borderId="5" xfId="0" applyFont="1" applyFill="1" applyBorder="1" applyAlignment="1" applyProtection="1">
      <alignment horizontal="left" vertical="center"/>
      <protection locked="0"/>
    </xf>
    <xf numFmtId="0" fontId="7" fillId="2" borderId="2" xfId="0" applyNumberFormat="1" applyFont="1" applyFill="1" applyBorder="1" applyAlignment="1" applyProtection="1">
      <alignment horizontal="center" vertical="center"/>
    </xf>
    <xf numFmtId="0" fontId="7" fillId="2" borderId="5" xfId="0" applyNumberFormat="1" applyFont="1" applyFill="1" applyBorder="1" applyAlignment="1" applyProtection="1">
      <alignment horizontal="center" vertical="center"/>
    </xf>
    <xf numFmtId="0" fontId="14" fillId="0" borderId="7" xfId="0" applyNumberFormat="1" applyFont="1" applyFill="1" applyBorder="1" applyAlignment="1" applyProtection="1">
      <alignment vertical="center"/>
      <protection locked="0"/>
    </xf>
    <xf numFmtId="0" fontId="17" fillId="2" borderId="2" xfId="0" applyNumberFormat="1" applyFont="1" applyFill="1" applyBorder="1" applyAlignment="1" applyProtection="1">
      <alignment horizontal="center" vertical="center"/>
    </xf>
    <xf numFmtId="0" fontId="7" fillId="8" borderId="6" xfId="0" applyNumberFormat="1" applyFont="1" applyFill="1" applyBorder="1" applyAlignment="1" applyProtection="1">
      <alignment horizontal="center" vertical="center"/>
    </xf>
    <xf numFmtId="0" fontId="17" fillId="2" borderId="5" xfId="0" applyNumberFormat="1" applyFont="1" applyFill="1" applyBorder="1" applyAlignment="1" applyProtection="1">
      <alignment horizontal="center" vertical="center"/>
    </xf>
    <xf numFmtId="0" fontId="7" fillId="8" borderId="3" xfId="0" applyNumberFormat="1"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right" vertical="center"/>
      <protection locked="0"/>
    </xf>
    <xf numFmtId="0" fontId="7" fillId="0" borderId="5" xfId="0" applyNumberFormat="1" applyFont="1" applyFill="1" applyBorder="1" applyAlignment="1" applyProtection="1">
      <alignment vertical="center"/>
      <protection locked="0"/>
    </xf>
    <xf numFmtId="0" fontId="7" fillId="0" borderId="5" xfId="0" applyNumberFormat="1" applyFont="1" applyFill="1" applyBorder="1" applyAlignment="1" applyProtection="1">
      <alignment horizontal="center" vertical="center"/>
      <protection locked="0"/>
    </xf>
    <xf numFmtId="0" fontId="7" fillId="4" borderId="5" xfId="0" applyNumberFormat="1" applyFont="1" applyFill="1" applyBorder="1" applyAlignment="1" applyProtection="1">
      <alignment horizontal="left" vertical="center"/>
      <protection locked="0"/>
    </xf>
    <xf numFmtId="0" fontId="7" fillId="0" borderId="5" xfId="0" applyNumberFormat="1" applyFont="1" applyFill="1" applyBorder="1" applyAlignment="1" applyProtection="1">
      <alignment horizontal="left" vertical="center"/>
      <protection locked="0"/>
    </xf>
    <xf numFmtId="0" fontId="17" fillId="2" borderId="5" xfId="0" applyNumberFormat="1" applyFont="1" applyFill="1" applyBorder="1" applyAlignment="1" applyProtection="1">
      <alignment vertical="center"/>
    </xf>
    <xf numFmtId="0" fontId="6" fillId="2" borderId="5" xfId="0" applyNumberFormat="1" applyFont="1" applyFill="1" applyBorder="1" applyAlignment="1" applyProtection="1">
      <alignment vertical="center"/>
      <protection locked="0"/>
    </xf>
    <xf numFmtId="0" fontId="17" fillId="2" borderId="8" xfId="0" applyNumberFormat="1" applyFont="1" applyFill="1" applyBorder="1" applyAlignment="1" applyProtection="1">
      <alignment vertical="center"/>
    </xf>
    <xf numFmtId="0" fontId="21" fillId="0" borderId="0" xfId="0" applyNumberFormat="1" applyFont="1" applyFill="1" applyBorder="1" applyAlignment="1" applyProtection="1">
      <alignment horizontal="left" vertical="center"/>
      <protection locked="0"/>
    </xf>
    <xf numFmtId="0" fontId="20" fillId="0" borderId="0" xfId="0" applyNumberFormat="1" applyFont="1" applyFill="1" applyBorder="1" applyAlignment="1" applyProtection="1">
      <alignment vertical="center"/>
      <protection locked="0"/>
    </xf>
    <xf numFmtId="0" fontId="18" fillId="0" borderId="0" xfId="0" quotePrefix="1" applyNumberFormat="1" applyFont="1" applyFill="1" applyBorder="1" applyAlignment="1" applyProtection="1">
      <alignment vertical="center"/>
      <protection locked="0"/>
    </xf>
    <xf numFmtId="0" fontId="3" fillId="2" borderId="0" xfId="0" applyFont="1" applyFill="1" applyAlignment="1" applyProtection="1">
      <alignment horizontal="center" vertical="center"/>
      <protection locked="0"/>
    </xf>
    <xf numFmtId="0" fontId="4" fillId="0" borderId="0" xfId="0" applyFont="1" applyAlignment="1" applyProtection="1">
      <alignment vertical="center"/>
      <protection locked="0"/>
    </xf>
    <xf numFmtId="0" fontId="14" fillId="3" borderId="0" xfId="0"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left" vertical="center"/>
      <protection locked="0"/>
    </xf>
    <xf numFmtId="0" fontId="32" fillId="0" borderId="0" xfId="0"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right" vertical="center"/>
      <protection locked="0"/>
    </xf>
    <xf numFmtId="0" fontId="6" fillId="0" borderId="0" xfId="0" applyNumberFormat="1" applyFont="1" applyFill="1" applyAlignment="1" applyProtection="1">
      <alignment horizontal="left" vertical="center"/>
      <protection locked="0"/>
    </xf>
    <xf numFmtId="0" fontId="15" fillId="0" borderId="2"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4" borderId="0" xfId="0" applyFont="1" applyFill="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center" vertical="center"/>
      <protection locked="0"/>
    </xf>
    <xf numFmtId="0" fontId="15" fillId="0" borderId="5" xfId="0" applyNumberFormat="1" applyFont="1" applyFill="1" applyBorder="1" applyAlignment="1" applyProtection="1">
      <alignment horizontal="center" vertical="center"/>
      <protection locked="0"/>
    </xf>
    <xf numFmtId="0" fontId="7" fillId="6" borderId="0" xfId="0" applyFont="1" applyFill="1" applyBorder="1" applyAlignment="1" applyProtection="1">
      <alignment horizontal="center" vertical="center"/>
      <protection locked="0"/>
    </xf>
    <xf numFmtId="0" fontId="15" fillId="7" borderId="0" xfId="0" applyFont="1" applyFill="1" applyBorder="1" applyAlignment="1" applyProtection="1">
      <alignment horizontal="center" vertical="center"/>
      <protection locked="0"/>
    </xf>
    <xf numFmtId="0" fontId="15" fillId="4" borderId="0" xfId="0" applyFont="1" applyFill="1" applyBorder="1" applyAlignment="1" applyProtection="1">
      <alignment horizontal="left" vertical="center"/>
      <protection locked="0"/>
    </xf>
    <xf numFmtId="0" fontId="15" fillId="7" borderId="0" xfId="0" applyFont="1" applyFill="1" applyBorder="1" applyAlignment="1" applyProtection="1">
      <alignment horizontal="left" vertical="center"/>
      <protection locked="0"/>
    </xf>
    <xf numFmtId="0" fontId="15" fillId="2" borderId="2" xfId="0" applyNumberFormat="1" applyFont="1" applyFill="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Fill="1" applyBorder="1" applyAlignment="1" applyProtection="1">
      <alignment horizontal="left" vertical="center"/>
      <protection locked="0"/>
    </xf>
    <xf numFmtId="0" fontId="7" fillId="2" borderId="2" xfId="0" applyNumberFormat="1" applyFont="1" applyFill="1" applyBorder="1" applyAlignment="1" applyProtection="1">
      <alignment horizontal="center" vertical="center"/>
      <protection locked="0"/>
    </xf>
    <xf numFmtId="0" fontId="26" fillId="2" borderId="2" xfId="0" applyNumberFormat="1" applyFont="1" applyFill="1" applyBorder="1" applyAlignment="1" applyProtection="1">
      <alignment horizontal="left" vertical="center"/>
    </xf>
    <xf numFmtId="0" fontId="15" fillId="2" borderId="5" xfId="0" applyNumberFormat="1" applyFont="1" applyFill="1" applyBorder="1" applyAlignment="1" applyProtection="1">
      <alignment horizontal="center" vertical="center"/>
      <protection locked="0"/>
    </xf>
    <xf numFmtId="0" fontId="7" fillId="2" borderId="5" xfId="0" applyNumberFormat="1" applyFont="1" applyFill="1" applyBorder="1" applyAlignment="1" applyProtection="1">
      <alignment horizontal="center" vertical="center"/>
      <protection locked="0"/>
    </xf>
    <xf numFmtId="0" fontId="26" fillId="2" borderId="5" xfId="0" applyNumberFormat="1" applyFont="1" applyFill="1" applyBorder="1" applyAlignment="1" applyProtection="1">
      <alignment horizontal="left" vertical="center"/>
    </xf>
    <xf numFmtId="0" fontId="7" fillId="0" borderId="3" xfId="0" applyNumberFormat="1" applyFont="1" applyFill="1" applyBorder="1" applyAlignment="1" applyProtection="1">
      <alignment horizontal="center" vertical="center"/>
      <protection locked="0"/>
    </xf>
    <xf numFmtId="0" fontId="15" fillId="7" borderId="0" xfId="0" quotePrefix="1" applyFont="1" applyFill="1" applyBorder="1" applyAlignment="1" applyProtection="1">
      <alignment horizontal="center" vertical="center"/>
      <protection locked="0"/>
    </xf>
    <xf numFmtId="0" fontId="7" fillId="0" borderId="6" xfId="0" applyNumberFormat="1" applyFont="1" applyFill="1" applyBorder="1" applyAlignment="1" applyProtection="1">
      <alignment horizontal="center" vertical="center"/>
      <protection locked="0"/>
    </xf>
    <xf numFmtId="0" fontId="7" fillId="2" borderId="5" xfId="0" quotePrefix="1" applyNumberFormat="1" applyFont="1" applyFill="1" applyBorder="1" applyAlignment="1" applyProtection="1">
      <alignment horizontal="center" vertical="center"/>
      <protection locked="0"/>
    </xf>
    <xf numFmtId="0" fontId="7" fillId="8" borderId="8" xfId="0" quotePrefix="1" applyNumberFormat="1" applyFont="1" applyFill="1" applyBorder="1" applyAlignment="1" applyProtection="1">
      <alignment horizontal="center" vertical="center"/>
    </xf>
    <xf numFmtId="0" fontId="15" fillId="0" borderId="0" xfId="0" applyNumberFormat="1" applyFont="1" applyFill="1" applyBorder="1" applyAlignment="1" applyProtection="1">
      <alignment horizontal="center" vertical="center"/>
      <protection locked="0"/>
    </xf>
    <xf numFmtId="0" fontId="17" fillId="0" borderId="0" xfId="0" applyNumberFormat="1" applyFont="1" applyFill="1" applyBorder="1" applyAlignment="1" applyProtection="1">
      <alignment horizontal="center" vertical="center"/>
      <protection locked="0"/>
    </xf>
    <xf numFmtId="0" fontId="7" fillId="8" borderId="6" xfId="0" applyNumberFormat="1" applyFont="1" applyFill="1" applyBorder="1" applyAlignment="1" applyProtection="1">
      <alignment horizontal="center" vertical="center"/>
      <protection locked="0"/>
    </xf>
    <xf numFmtId="0" fontId="7" fillId="0" borderId="8" xfId="0" applyNumberFormat="1" applyFont="1" applyFill="1" applyBorder="1" applyAlignment="1" applyProtection="1">
      <alignment horizontal="center" vertical="center"/>
    </xf>
    <xf numFmtId="0" fontId="17" fillId="2" borderId="5" xfId="0" applyNumberFormat="1" applyFont="1" applyFill="1" applyBorder="1" applyAlignment="1" applyProtection="1">
      <alignment horizontal="center" vertical="center"/>
      <protection locked="0"/>
    </xf>
    <xf numFmtId="0" fontId="25" fillId="2" borderId="5" xfId="0" applyNumberFormat="1" applyFont="1" applyFill="1" applyBorder="1" applyAlignment="1" applyProtection="1">
      <alignment horizontal="left" vertical="center"/>
    </xf>
    <xf numFmtId="0" fontId="17" fillId="0" borderId="0" xfId="0" quotePrefix="1" applyNumberFormat="1" applyFont="1" applyFill="1" applyBorder="1" applyAlignment="1" applyProtection="1">
      <alignment horizontal="center" vertical="center"/>
      <protection locked="0"/>
    </xf>
    <xf numFmtId="0" fontId="22" fillId="0" borderId="0" xfId="0" applyNumberFormat="1" applyFont="1" applyFill="1" applyBorder="1" applyAlignment="1" applyProtection="1">
      <alignment horizontal="centerContinuous" vertical="center"/>
      <protection locked="0"/>
    </xf>
    <xf numFmtId="0" fontId="20" fillId="0" borderId="0" xfId="0" applyNumberFormat="1" applyFont="1" applyFill="1" applyBorder="1" applyAlignment="1" applyProtection="1">
      <alignment horizontal="center" vertical="center"/>
      <protection locked="0"/>
    </xf>
    <xf numFmtId="0" fontId="33" fillId="0" borderId="0" xfId="0" applyNumberFormat="1" applyFont="1" applyFill="1" applyBorder="1" applyAlignment="1" applyProtection="1">
      <alignment vertical="center"/>
      <protection locked="0"/>
    </xf>
    <xf numFmtId="0" fontId="34" fillId="0" borderId="0" xfId="0" applyNumberFormat="1" applyFont="1" applyFill="1" applyAlignment="1" applyProtection="1">
      <alignment vertical="center"/>
      <protection locked="0"/>
    </xf>
    <xf numFmtId="0" fontId="35" fillId="0" borderId="0" xfId="0" applyNumberFormat="1" applyFont="1" applyFill="1" applyBorder="1" applyAlignment="1" applyProtection="1">
      <alignment horizontal="left" vertical="center"/>
    </xf>
    <xf numFmtId="0" fontId="36" fillId="0" borderId="0" xfId="0" quotePrefix="1" applyNumberFormat="1" applyFont="1" applyFill="1" applyBorder="1" applyAlignment="1" applyProtection="1">
      <alignment vertical="center"/>
    </xf>
    <xf numFmtId="0" fontId="37" fillId="0" borderId="0" xfId="0" applyFont="1" applyBorder="1" applyAlignment="1" applyProtection="1">
      <alignment vertical="center"/>
      <protection locked="0"/>
    </xf>
    <xf numFmtId="0" fontId="26" fillId="0" borderId="0" xfId="0" applyFont="1" applyBorder="1" applyAlignment="1" applyProtection="1">
      <alignment vertical="center"/>
      <protection locked="0"/>
    </xf>
    <xf numFmtId="0" fontId="17" fillId="0" borderId="0" xfId="0" applyFont="1" applyFill="1" applyBorder="1" applyAlignment="1" applyProtection="1">
      <alignment horizontal="center" vertical="center"/>
      <protection locked="0"/>
    </xf>
    <xf numFmtId="0" fontId="38" fillId="12" borderId="0" xfId="0" applyFont="1" applyFill="1" applyBorder="1" applyAlignment="1" applyProtection="1">
      <alignment horizontal="center" vertical="center"/>
      <protection locked="0"/>
    </xf>
    <xf numFmtId="0" fontId="39" fillId="12" borderId="0" xfId="0" applyFont="1" applyFill="1" applyBorder="1" applyAlignment="1" applyProtection="1">
      <alignment horizontal="center" vertical="center"/>
      <protection locked="0"/>
    </xf>
    <xf numFmtId="0" fontId="7" fillId="8" borderId="8" xfId="0" applyNumberFormat="1" applyFont="1" applyFill="1" applyBorder="1" applyAlignment="1" applyProtection="1">
      <alignment horizontal="center" vertical="center"/>
    </xf>
    <xf numFmtId="0" fontId="17" fillId="0" borderId="0" xfId="0" applyNumberFormat="1" applyFont="1" applyFill="1" applyBorder="1" applyAlignment="1" applyProtection="1">
      <alignment horizontal="right" vertical="center"/>
      <protection locked="0"/>
    </xf>
    <xf numFmtId="0" fontId="17" fillId="0" borderId="0" xfId="0" applyNumberFormat="1" applyFont="1" applyFill="1" applyBorder="1" applyAlignment="1" applyProtection="1">
      <alignment horizontal="left" vertical="center"/>
      <protection locked="0"/>
    </xf>
    <xf numFmtId="0" fontId="15" fillId="9" borderId="2" xfId="0" applyNumberFormat="1" applyFont="1" applyFill="1" applyBorder="1" applyAlignment="1" applyProtection="1">
      <alignment horizontal="center" vertical="center"/>
      <protection locked="0"/>
    </xf>
    <xf numFmtId="0" fontId="7" fillId="9" borderId="0" xfId="0" applyFont="1" applyFill="1" applyBorder="1" applyAlignment="1" applyProtection="1">
      <alignment horizontal="center" vertical="center"/>
      <protection locked="0"/>
    </xf>
    <xf numFmtId="0" fontId="15" fillId="9" borderId="0" xfId="0" applyFont="1" applyFill="1" applyBorder="1" applyAlignment="1" applyProtection="1">
      <alignment horizontal="center" vertical="center"/>
      <protection locked="0"/>
    </xf>
    <xf numFmtId="0" fontId="15" fillId="9" borderId="0" xfId="0" applyFont="1" applyFill="1" applyBorder="1" applyAlignment="1" applyProtection="1">
      <alignment horizontal="left" vertical="center"/>
      <protection locked="0"/>
    </xf>
    <xf numFmtId="0" fontId="7" fillId="9" borderId="2" xfId="0" applyNumberFormat="1" applyFont="1" applyFill="1" applyBorder="1" applyAlignment="1" applyProtection="1">
      <alignment horizontal="center" vertical="center"/>
      <protection locked="0"/>
    </xf>
    <xf numFmtId="0" fontId="7" fillId="9" borderId="2" xfId="0" applyNumberFormat="1" applyFont="1" applyFill="1" applyBorder="1" applyAlignment="1" applyProtection="1">
      <alignment horizontal="center" vertical="center"/>
    </xf>
    <xf numFmtId="0" fontId="26" fillId="9" borderId="2" xfId="0" applyNumberFormat="1" applyFont="1" applyFill="1" applyBorder="1" applyAlignment="1" applyProtection="1">
      <alignment horizontal="left" vertical="center"/>
    </xf>
    <xf numFmtId="0" fontId="15" fillId="9" borderId="5" xfId="0" applyNumberFormat="1" applyFont="1" applyFill="1" applyBorder="1" applyAlignment="1" applyProtection="1">
      <alignment horizontal="center" vertical="center"/>
      <protection locked="0"/>
    </xf>
    <xf numFmtId="0" fontId="7" fillId="9" borderId="5" xfId="0" applyNumberFormat="1" applyFont="1" applyFill="1" applyBorder="1" applyAlignment="1" applyProtection="1">
      <alignment horizontal="center" vertical="center"/>
      <protection locked="0"/>
    </xf>
    <xf numFmtId="0" fontId="7" fillId="9" borderId="5" xfId="0" applyNumberFormat="1" applyFont="1" applyFill="1" applyBorder="1" applyAlignment="1" applyProtection="1">
      <alignment horizontal="center" vertical="center"/>
    </xf>
    <xf numFmtId="0" fontId="26" fillId="9" borderId="5" xfId="0" applyNumberFormat="1" applyFont="1" applyFill="1" applyBorder="1" applyAlignment="1" applyProtection="1">
      <alignment horizontal="left" vertical="center"/>
    </xf>
    <xf numFmtId="0" fontId="17" fillId="9" borderId="5" xfId="0" applyNumberFormat="1" applyFont="1" applyFill="1" applyBorder="1" applyAlignment="1" applyProtection="1">
      <alignment horizontal="center" vertical="center"/>
      <protection locked="0"/>
    </xf>
    <xf numFmtId="0" fontId="25" fillId="9" borderId="5" xfId="0" applyNumberFormat="1" applyFont="1" applyFill="1" applyBorder="1" applyAlignment="1" applyProtection="1">
      <alignment horizontal="left" vertical="center"/>
    </xf>
    <xf numFmtId="0" fontId="17" fillId="9" borderId="0" xfId="0" applyFont="1" applyFill="1" applyBorder="1" applyAlignment="1" applyProtection="1">
      <alignment horizontal="center" vertical="center"/>
      <protection locked="0"/>
    </xf>
    <xf numFmtId="0" fontId="39" fillId="9" borderId="0" xfId="0" applyFont="1" applyFill="1" applyBorder="1" applyAlignment="1" applyProtection="1">
      <alignment horizontal="center" vertical="center"/>
      <protection locked="0"/>
    </xf>
    <xf numFmtId="0" fontId="40" fillId="9" borderId="0" xfId="0" applyFont="1" applyFill="1" applyBorder="1" applyAlignment="1" applyProtection="1">
      <alignment horizontal="center" vertical="center"/>
      <protection locked="0"/>
    </xf>
    <xf numFmtId="0" fontId="15" fillId="9" borderId="0" xfId="0" applyNumberFormat="1" applyFont="1" applyFill="1" applyBorder="1" applyAlignment="1" applyProtection="1">
      <alignment horizontal="center" vertical="center"/>
      <protection locked="0"/>
    </xf>
    <xf numFmtId="0" fontId="7" fillId="9" borderId="0" xfId="0" applyNumberFormat="1" applyFont="1" applyFill="1" applyBorder="1" applyAlignment="1" applyProtection="1">
      <alignment horizontal="center" vertical="center"/>
      <protection locked="0"/>
    </xf>
    <xf numFmtId="0" fontId="7" fillId="9" borderId="0" xfId="0" applyNumberFormat="1" applyFont="1" applyFill="1" applyBorder="1" applyAlignment="1" applyProtection="1">
      <alignment horizontal="center" vertical="center"/>
    </xf>
    <xf numFmtId="0" fontId="26" fillId="9" borderId="0" xfId="0" applyNumberFormat="1" applyFont="1" applyFill="1" applyBorder="1" applyAlignment="1" applyProtection="1">
      <alignment horizontal="left" vertical="center"/>
    </xf>
    <xf numFmtId="0" fontId="7" fillId="0" borderId="0" xfId="0" applyNumberFormat="1" applyFont="1" applyFill="1" applyAlignment="1" applyProtection="1">
      <alignment vertical="center"/>
    </xf>
    <xf numFmtId="0" fontId="23" fillId="0" borderId="0" xfId="0" quotePrefix="1" applyNumberFormat="1" applyFont="1" applyFill="1" applyBorder="1" applyAlignment="1" applyProtection="1">
      <alignment horizontal="left" vertical="center"/>
    </xf>
    <xf numFmtId="0" fontId="8" fillId="0" borderId="0" xfId="0" applyNumberFormat="1" applyFont="1" applyFill="1" applyAlignment="1" applyProtection="1">
      <alignment horizontal="center" vertical="center"/>
    </xf>
    <xf numFmtId="0" fontId="19" fillId="0" borderId="0" xfId="0" applyNumberFormat="1" applyFont="1" applyFill="1" applyBorder="1" applyAlignment="1" applyProtection="1">
      <alignment horizontal="left" vertical="center"/>
    </xf>
    <xf numFmtId="0" fontId="7" fillId="0" borderId="0" xfId="0" applyNumberFormat="1" applyFont="1" applyFill="1" applyAlignment="1" applyProtection="1">
      <alignment horizontal="left" vertical="center"/>
    </xf>
    <xf numFmtId="0" fontId="2" fillId="0" borderId="0" xfId="0" quotePrefix="1" applyNumberFormat="1" applyFont="1" applyFill="1" applyBorder="1" applyAlignment="1" applyProtection="1">
      <alignment horizontal="left" vertical="center"/>
      <protection locked="0"/>
    </xf>
    <xf numFmtId="0" fontId="8" fillId="0" borderId="0" xfId="0" applyNumberFormat="1" applyFont="1" applyFill="1" applyAlignment="1" applyProtection="1">
      <alignment horizontal="center" vertical="center"/>
      <protection locked="0"/>
    </xf>
    <xf numFmtId="0" fontId="22" fillId="0" borderId="0"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xf>
    <xf numFmtId="0" fontId="15" fillId="0" borderId="1" xfId="0" applyNumberFormat="1" applyFont="1" applyFill="1" applyBorder="1" applyAlignment="1" applyProtection="1">
      <alignment horizontal="center" vertical="center"/>
    </xf>
    <xf numFmtId="0" fontId="15" fillId="0" borderId="4" xfId="0" applyNumberFormat="1" applyFont="1" applyFill="1" applyBorder="1" applyAlignment="1" applyProtection="1">
      <alignment horizontal="center" vertical="center"/>
    </xf>
    <xf numFmtId="0" fontId="16" fillId="0" borderId="2" xfId="0" applyNumberFormat="1" applyFont="1" applyFill="1" applyBorder="1" applyAlignment="1" applyProtection="1">
      <alignment horizontal="center" vertical="center"/>
      <protection locked="0"/>
    </xf>
    <xf numFmtId="0" fontId="16" fillId="0" borderId="5" xfId="0" applyNumberFormat="1" applyFont="1" applyFill="1" applyBorder="1" applyAlignment="1" applyProtection="1">
      <alignment horizontal="center" vertical="center"/>
      <protection locked="0"/>
    </xf>
    <xf numFmtId="0" fontId="15" fillId="0" borderId="2" xfId="0" applyNumberFormat="1" applyFont="1" applyFill="1" applyBorder="1" applyAlignment="1" applyProtection="1">
      <alignment horizontal="center" vertical="center"/>
      <protection locked="0"/>
    </xf>
    <xf numFmtId="0" fontId="15" fillId="0" borderId="5" xfId="0" applyNumberFormat="1" applyFont="1" applyFill="1" applyBorder="1" applyAlignment="1" applyProtection="1">
      <alignment horizontal="center" vertical="center"/>
      <protection locked="0"/>
    </xf>
    <xf numFmtId="0" fontId="15" fillId="2" borderId="1" xfId="0" applyNumberFormat="1" applyFont="1" applyFill="1" applyBorder="1" applyAlignment="1" applyProtection="1">
      <alignment horizontal="center" vertical="center"/>
    </xf>
    <xf numFmtId="0" fontId="15" fillId="2" borderId="4" xfId="0" applyNumberFormat="1" applyFont="1" applyFill="1" applyBorder="1" applyAlignment="1" applyProtection="1">
      <alignment horizontal="center" vertical="center"/>
    </xf>
    <xf numFmtId="0" fontId="15" fillId="2" borderId="2" xfId="0" applyNumberFormat="1" applyFont="1" applyFill="1" applyBorder="1" applyAlignment="1" applyProtection="1">
      <alignment horizontal="center" vertical="center"/>
      <protection locked="0"/>
    </xf>
    <xf numFmtId="0" fontId="15" fillId="2" borderId="5" xfId="0" applyNumberFormat="1" applyFont="1" applyFill="1" applyBorder="1" applyAlignment="1" applyProtection="1">
      <alignment horizontal="center" vertical="center"/>
      <protection locked="0"/>
    </xf>
    <xf numFmtId="0" fontId="16" fillId="2" borderId="2" xfId="0" applyNumberFormat="1" applyFont="1" applyFill="1" applyBorder="1" applyAlignment="1" applyProtection="1">
      <alignment horizontal="center" vertical="center"/>
      <protection locked="0"/>
    </xf>
    <xf numFmtId="0" fontId="16" fillId="2" borderId="5" xfId="0" applyNumberFormat="1" applyFont="1" applyFill="1" applyBorder="1" applyAlignment="1" applyProtection="1">
      <alignment horizontal="center" vertical="center"/>
      <protection locked="0"/>
    </xf>
    <xf numFmtId="0" fontId="18" fillId="0" borderId="0" xfId="0" quotePrefix="1" applyNumberFormat="1" applyFont="1" applyFill="1" applyBorder="1" applyAlignment="1" applyProtection="1">
      <alignment horizontal="left" vertical="center"/>
      <protection locked="0"/>
    </xf>
    <xf numFmtId="0" fontId="2" fillId="0" borderId="0" xfId="0" quotePrefix="1" applyNumberFormat="1" applyFont="1" applyFill="1" applyBorder="1" applyAlignment="1" applyProtection="1">
      <alignment horizontal="left" vertical="center"/>
    </xf>
    <xf numFmtId="0" fontId="16" fillId="0" borderId="1" xfId="0" applyNumberFormat="1" applyFont="1" applyFill="1" applyBorder="1" applyAlignment="1" applyProtection="1">
      <alignment horizontal="center" vertical="center"/>
      <protection locked="0"/>
    </xf>
    <xf numFmtId="0" fontId="16" fillId="0" borderId="4" xfId="0" applyNumberFormat="1" applyFont="1" applyFill="1" applyBorder="1" applyAlignment="1" applyProtection="1">
      <alignment horizontal="center" vertical="center"/>
      <protection locked="0"/>
    </xf>
    <xf numFmtId="0" fontId="15" fillId="0" borderId="1" xfId="0" applyNumberFormat="1" applyFont="1" applyFill="1" applyBorder="1" applyAlignment="1" applyProtection="1">
      <alignment horizontal="center" vertical="center"/>
      <protection locked="0"/>
    </xf>
    <xf numFmtId="0" fontId="15" fillId="0" borderId="4" xfId="0" applyNumberFormat="1" applyFont="1" applyFill="1" applyBorder="1" applyAlignment="1" applyProtection="1">
      <alignment horizontal="center" vertical="center"/>
      <protection locked="0"/>
    </xf>
    <xf numFmtId="0" fontId="15" fillId="9" borderId="1" xfId="0" applyNumberFormat="1" applyFont="1" applyFill="1" applyBorder="1" applyAlignment="1" applyProtection="1">
      <alignment horizontal="center" vertical="center"/>
    </xf>
    <xf numFmtId="0" fontId="15" fillId="9" borderId="4" xfId="0" applyNumberFormat="1" applyFont="1" applyFill="1" applyBorder="1" applyAlignment="1" applyProtection="1">
      <alignment horizontal="center" vertical="center"/>
    </xf>
    <xf numFmtId="0" fontId="15" fillId="9" borderId="1" xfId="0" applyNumberFormat="1" applyFont="1" applyFill="1" applyBorder="1" applyAlignment="1" applyProtection="1">
      <alignment horizontal="center" vertical="center"/>
      <protection locked="0"/>
    </xf>
    <xf numFmtId="0" fontId="15" fillId="9" borderId="4" xfId="0" applyNumberFormat="1" applyFont="1" applyFill="1" applyBorder="1" applyAlignment="1" applyProtection="1">
      <alignment horizontal="center" vertical="center"/>
      <protection locked="0"/>
    </xf>
    <xf numFmtId="0" fontId="16" fillId="9" borderId="1" xfId="0" applyNumberFormat="1" applyFont="1" applyFill="1" applyBorder="1" applyAlignment="1" applyProtection="1">
      <alignment horizontal="center" vertical="center"/>
      <protection locked="0"/>
    </xf>
    <xf numFmtId="0" fontId="16" fillId="9" borderId="4" xfId="0" applyNumberFormat="1" applyFont="1" applyFill="1" applyBorder="1" applyAlignment="1" applyProtection="1">
      <alignment horizontal="center" vertical="center"/>
      <protection locked="0"/>
    </xf>
  </cellXfs>
  <cellStyles count="1">
    <cellStyle name="Κανονικό" xfId="0" builtinId="0"/>
  </cellStyles>
  <dxfs count="1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266700</xdr:colOff>
          <xdr:row>4</xdr:row>
          <xdr:rowOff>0</xdr:rowOff>
        </xdr:from>
        <xdr:to>
          <xdr:col>17</xdr:col>
          <xdr:colOff>228600</xdr:colOff>
          <xdr:row>6</xdr:row>
          <xdr:rowOff>99060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2004" rIns="36576" bIns="32004" anchor="ctr" upright="1"/>
            <a:lstStyle/>
            <a:p>
              <a:pPr algn="ctr" rtl="0">
                <a:defRPr sz="1000"/>
              </a:pPr>
              <a:r>
                <a:rPr lang="en-US" sz="1200" b="1" i="0" u="none" strike="noStrike" baseline="0">
                  <a:solidFill>
                    <a:srgbClr val="FF0000"/>
                  </a:solidFill>
                  <a:latin typeface="Arial"/>
                  <a:cs typeface="Arial"/>
                </a:rPr>
                <a:t>Make PDF</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76200</xdr:colOff>
          <xdr:row>1</xdr:row>
          <xdr:rowOff>15240</xdr:rowOff>
        </xdr:from>
        <xdr:to>
          <xdr:col>22</xdr:col>
          <xdr:colOff>220980</xdr:colOff>
          <xdr:row>3</xdr:row>
          <xdr:rowOff>91440</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2004" rIns="36576" bIns="32004" anchor="ctr" upright="1"/>
            <a:lstStyle/>
            <a:p>
              <a:pPr algn="ctr" rtl="0">
                <a:defRPr sz="1000"/>
              </a:pPr>
              <a:r>
                <a:rPr lang="en-US" sz="1200" b="1" i="0" u="none" strike="noStrike" baseline="0">
                  <a:solidFill>
                    <a:srgbClr val="FF0000"/>
                  </a:solidFill>
                  <a:latin typeface="Arial"/>
                  <a:cs typeface="Arial"/>
                </a:rPr>
                <a:t>Make PDF</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426720</xdr:colOff>
          <xdr:row>2</xdr:row>
          <xdr:rowOff>15240</xdr:rowOff>
        </xdr:from>
        <xdr:to>
          <xdr:col>22</xdr:col>
          <xdr:colOff>388620</xdr:colOff>
          <xdr:row>4</xdr:row>
          <xdr:rowOff>60960</xdr:rowOff>
        </xdr:to>
        <xdr:sp macro="" textlink="">
          <xdr:nvSpPr>
            <xdr:cNvPr id="8193" name="Button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2004" rIns="36576" bIns="32004" anchor="ctr" upright="1"/>
            <a:lstStyle/>
            <a:p>
              <a:pPr algn="ctr" rtl="0">
                <a:defRPr sz="1000"/>
              </a:pPr>
              <a:r>
                <a:rPr lang="en-US" sz="1200" b="1" i="0" u="none" strike="noStrike" baseline="0">
                  <a:solidFill>
                    <a:srgbClr val="FF0000"/>
                  </a:solidFill>
                  <a:latin typeface="Arial"/>
                  <a:cs typeface="Arial"/>
                </a:rPr>
                <a:t>Make PDF</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0</xdr:colOff>
          <xdr:row>7</xdr:row>
          <xdr:rowOff>99060</xdr:rowOff>
        </xdr:from>
        <xdr:to>
          <xdr:col>21</xdr:col>
          <xdr:colOff>137160</xdr:colOff>
          <xdr:row>10</xdr:row>
          <xdr:rowOff>38100</xdr:rowOff>
        </xdr:to>
        <xdr:sp macro="" textlink="">
          <xdr:nvSpPr>
            <xdr:cNvPr id="4097" name="Button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2004" rIns="36576" bIns="32004" anchor="ctr" upright="1"/>
            <a:lstStyle/>
            <a:p>
              <a:pPr algn="ctr" rtl="0">
                <a:defRPr sz="1000"/>
              </a:pPr>
              <a:r>
                <a:rPr lang="en-US" sz="1200" b="1" i="0" u="none" strike="noStrike" baseline="0">
                  <a:solidFill>
                    <a:srgbClr val="FF0000"/>
                  </a:solidFill>
                  <a:latin typeface="Arial"/>
                  <a:cs typeface="Arial"/>
                </a:rPr>
                <a:t>Make PDF</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45720</xdr:colOff>
          <xdr:row>5</xdr:row>
          <xdr:rowOff>99060</xdr:rowOff>
        </xdr:from>
        <xdr:to>
          <xdr:col>22</xdr:col>
          <xdr:colOff>175260</xdr:colOff>
          <xdr:row>8</xdr:row>
          <xdr:rowOff>38100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4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2004" rIns="36576" bIns="32004" anchor="ctr" upright="1"/>
            <a:lstStyle/>
            <a:p>
              <a:pPr algn="ctr" rtl="0">
                <a:defRPr sz="1000"/>
              </a:pPr>
              <a:r>
                <a:rPr lang="en-US" sz="1200" b="1" i="0" u="none" strike="noStrike" baseline="0">
                  <a:solidFill>
                    <a:srgbClr val="FF0000"/>
                  </a:solidFill>
                  <a:latin typeface="Arial"/>
                  <a:cs typeface="Arial"/>
                </a:rPr>
                <a:t>Make PDF</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q.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d.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blDraw0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rawPrep"/>
      <sheetName val="QM"/>
      <sheetName val="PrgPrep"/>
      <sheetName val="R1"/>
      <sheetName val="R2"/>
      <sheetName val="notes"/>
      <sheetName val="tmp"/>
      <sheetName val="tmpRankings"/>
      <sheetName val="mq"/>
    </sheetNames>
    <definedNames>
      <definedName name="Sheet2pdf"/>
    </definedNames>
    <sheetDataSet>
      <sheetData sheetId="0">
        <row r="3">
          <cell r="B3" t="str">
            <v>Η ΕΝΩΣΗ</v>
          </cell>
        </row>
        <row r="4">
          <cell r="B4" t="str">
            <v>ΟΡΕΝ MASTER</v>
          </cell>
          <cell r="M4">
            <v>1</v>
          </cell>
          <cell r="N4">
            <v>1</v>
          </cell>
        </row>
        <row r="5">
          <cell r="M5">
            <v>2</v>
          </cell>
          <cell r="N5">
            <v>2</v>
          </cell>
        </row>
        <row r="6">
          <cell r="B6" t="str">
            <v>ΑΟΑ ΦΙΛΟΘΕΗΣ</v>
          </cell>
          <cell r="M6">
            <v>3</v>
          </cell>
          <cell r="N6">
            <v>3</v>
          </cell>
        </row>
        <row r="7">
          <cell r="B7" t="str">
            <v>Men q</v>
          </cell>
          <cell r="M7">
            <v>4</v>
          </cell>
          <cell r="N7">
            <v>4</v>
          </cell>
        </row>
        <row r="8">
          <cell r="B8" t="str">
            <v>17</v>
          </cell>
          <cell r="M8">
            <v>5</v>
          </cell>
          <cell r="N8">
            <v>5</v>
          </cell>
        </row>
        <row r="9">
          <cell r="B9" t="str">
            <v>22 Οκτ</v>
          </cell>
          <cell r="M9">
            <v>6</v>
          </cell>
          <cell r="N9">
            <v>6</v>
          </cell>
        </row>
        <row r="10">
          <cell r="B10" t="str">
            <v>Τ.Ταμπόση</v>
          </cell>
          <cell r="M10">
            <v>7</v>
          </cell>
          <cell r="N10">
            <v>7</v>
          </cell>
        </row>
        <row r="11">
          <cell r="M11">
            <v>8</v>
          </cell>
          <cell r="N11">
            <v>8</v>
          </cell>
        </row>
        <row r="12">
          <cell r="M12">
            <v>9</v>
          </cell>
          <cell r="N12">
            <v>9</v>
          </cell>
        </row>
        <row r="13">
          <cell r="M13">
            <v>10</v>
          </cell>
          <cell r="N13">
            <v>10</v>
          </cell>
        </row>
        <row r="14">
          <cell r="M14">
            <v>11</v>
          </cell>
          <cell r="N14">
            <v>11</v>
          </cell>
        </row>
        <row r="15">
          <cell r="M15">
            <v>12</v>
          </cell>
          <cell r="N15">
            <v>12</v>
          </cell>
        </row>
        <row r="16">
          <cell r="M16">
            <v>13</v>
          </cell>
          <cell r="N16">
            <v>13</v>
          </cell>
        </row>
        <row r="17">
          <cell r="M17">
            <v>14</v>
          </cell>
          <cell r="N17">
            <v>14</v>
          </cell>
        </row>
        <row r="18">
          <cell r="B18">
            <v>25</v>
          </cell>
          <cell r="M18">
            <v>15</v>
          </cell>
          <cell r="N18">
            <v>15</v>
          </cell>
        </row>
        <row r="19">
          <cell r="B19">
            <v>16</v>
          </cell>
          <cell r="M19">
            <v>16</v>
          </cell>
          <cell r="N19">
            <v>16</v>
          </cell>
        </row>
        <row r="20">
          <cell r="M20">
            <v>17</v>
          </cell>
          <cell r="N20">
            <v>27</v>
          </cell>
        </row>
        <row r="21">
          <cell r="M21">
            <v>18</v>
          </cell>
          <cell r="N21">
            <v>19</v>
          </cell>
        </row>
        <row r="22">
          <cell r="M22">
            <v>19</v>
          </cell>
          <cell r="N22">
            <v>23</v>
          </cell>
        </row>
        <row r="23">
          <cell r="M23">
            <v>20</v>
          </cell>
          <cell r="N23">
            <v>17</v>
          </cell>
        </row>
        <row r="24">
          <cell r="B24" t="str">
            <v>ok</v>
          </cell>
          <cell r="M24">
            <v>21</v>
          </cell>
          <cell r="N24">
            <v>22</v>
          </cell>
        </row>
        <row r="25">
          <cell r="M25">
            <v>22</v>
          </cell>
          <cell r="N25">
            <v>18</v>
          </cell>
        </row>
        <row r="26">
          <cell r="M26">
            <v>23</v>
          </cell>
          <cell r="N26">
            <v>28</v>
          </cell>
        </row>
        <row r="27">
          <cell r="M27">
            <v>24</v>
          </cell>
          <cell r="N27">
            <v>31</v>
          </cell>
        </row>
        <row r="28">
          <cell r="M28">
            <v>25</v>
          </cell>
          <cell r="N28">
            <v>30</v>
          </cell>
        </row>
        <row r="29">
          <cell r="M29">
            <v>26</v>
          </cell>
          <cell r="N29">
            <v>25</v>
          </cell>
        </row>
        <row r="30">
          <cell r="M30">
            <v>27</v>
          </cell>
          <cell r="N30">
            <v>20</v>
          </cell>
        </row>
        <row r="31">
          <cell r="M31">
            <v>28</v>
          </cell>
          <cell r="N31">
            <v>32</v>
          </cell>
        </row>
        <row r="32">
          <cell r="M32">
            <v>29</v>
          </cell>
          <cell r="N32">
            <v>24</v>
          </cell>
        </row>
        <row r="33">
          <cell r="M33">
            <v>30</v>
          </cell>
          <cell r="N33">
            <v>29</v>
          </cell>
        </row>
        <row r="34">
          <cell r="M34">
            <v>31</v>
          </cell>
          <cell r="N34">
            <v>26</v>
          </cell>
        </row>
        <row r="35">
          <cell r="M35">
            <v>32</v>
          </cell>
          <cell r="N35">
            <v>21</v>
          </cell>
        </row>
        <row r="36">
          <cell r="M36">
            <v>33</v>
          </cell>
          <cell r="N36">
            <v>34</v>
          </cell>
        </row>
        <row r="37">
          <cell r="M37">
            <v>34</v>
          </cell>
          <cell r="N37">
            <v>38</v>
          </cell>
        </row>
        <row r="38">
          <cell r="M38">
            <v>35</v>
          </cell>
          <cell r="N38">
            <v>37</v>
          </cell>
        </row>
        <row r="39">
          <cell r="M39">
            <v>36</v>
          </cell>
          <cell r="N39">
            <v>35</v>
          </cell>
        </row>
        <row r="40">
          <cell r="M40">
            <v>37</v>
          </cell>
          <cell r="N40">
            <v>33</v>
          </cell>
        </row>
        <row r="41">
          <cell r="M41">
            <v>38</v>
          </cell>
          <cell r="N41">
            <v>36</v>
          </cell>
        </row>
        <row r="42">
          <cell r="M42">
            <v>39</v>
          </cell>
          <cell r="N42">
            <v>39</v>
          </cell>
        </row>
        <row r="43">
          <cell r="M43">
            <v>40</v>
          </cell>
          <cell r="N43">
            <v>0</v>
          </cell>
        </row>
        <row r="44">
          <cell r="M44">
            <v>41</v>
          </cell>
          <cell r="N44">
            <v>0</v>
          </cell>
        </row>
        <row r="45">
          <cell r="M45">
            <v>42</v>
          </cell>
          <cell r="N45">
            <v>0</v>
          </cell>
        </row>
        <row r="46">
          <cell r="M46">
            <v>43</v>
          </cell>
          <cell r="N46">
            <v>0</v>
          </cell>
        </row>
        <row r="47">
          <cell r="M47">
            <v>44</v>
          </cell>
          <cell r="N47">
            <v>0</v>
          </cell>
        </row>
        <row r="48">
          <cell r="M48">
            <v>45</v>
          </cell>
          <cell r="N48">
            <v>0</v>
          </cell>
        </row>
        <row r="49">
          <cell r="M49">
            <v>46</v>
          </cell>
          <cell r="N49">
            <v>0</v>
          </cell>
        </row>
        <row r="50">
          <cell r="M50">
            <v>47</v>
          </cell>
          <cell r="N50">
            <v>0</v>
          </cell>
        </row>
        <row r="51">
          <cell r="M51">
            <v>48</v>
          </cell>
          <cell r="N51">
            <v>0</v>
          </cell>
        </row>
        <row r="52">
          <cell r="M52">
            <v>49</v>
          </cell>
          <cell r="N52">
            <v>0</v>
          </cell>
        </row>
        <row r="53">
          <cell r="M53">
            <v>50</v>
          </cell>
          <cell r="N53">
            <v>0</v>
          </cell>
        </row>
        <row r="54">
          <cell r="M54">
            <v>51</v>
          </cell>
          <cell r="N54">
            <v>0</v>
          </cell>
        </row>
        <row r="55">
          <cell r="M55">
            <v>52</v>
          </cell>
          <cell r="N55">
            <v>0</v>
          </cell>
        </row>
        <row r="56">
          <cell r="M56">
            <v>53</v>
          </cell>
          <cell r="N56">
            <v>0</v>
          </cell>
        </row>
        <row r="57">
          <cell r="M57">
            <v>54</v>
          </cell>
          <cell r="N57">
            <v>0</v>
          </cell>
        </row>
        <row r="58">
          <cell r="M58">
            <v>55</v>
          </cell>
          <cell r="N58">
            <v>0</v>
          </cell>
        </row>
        <row r="59">
          <cell r="M59">
            <v>56</v>
          </cell>
          <cell r="N59">
            <v>0</v>
          </cell>
        </row>
        <row r="60">
          <cell r="M60">
            <v>57</v>
          </cell>
          <cell r="N60">
            <v>0</v>
          </cell>
        </row>
        <row r="61">
          <cell r="M61">
            <v>58</v>
          </cell>
          <cell r="N61">
            <v>0</v>
          </cell>
        </row>
        <row r="62">
          <cell r="M62">
            <v>59</v>
          </cell>
          <cell r="N62">
            <v>0</v>
          </cell>
        </row>
        <row r="63">
          <cell r="M63">
            <v>60</v>
          </cell>
          <cell r="N63">
            <v>0</v>
          </cell>
        </row>
        <row r="64">
          <cell r="M64">
            <v>61</v>
          </cell>
          <cell r="N64">
            <v>0</v>
          </cell>
        </row>
        <row r="65">
          <cell r="M65">
            <v>62</v>
          </cell>
          <cell r="N65">
            <v>0</v>
          </cell>
        </row>
        <row r="66">
          <cell r="M66">
            <v>63</v>
          </cell>
          <cell r="N66">
            <v>0</v>
          </cell>
        </row>
        <row r="67">
          <cell r="M67">
            <v>64</v>
          </cell>
          <cell r="N67">
            <v>0</v>
          </cell>
        </row>
      </sheetData>
      <sheetData sheetId="1">
        <row r="3">
          <cell r="A3">
            <v>1</v>
          </cell>
          <cell r="C3">
            <v>17604</v>
          </cell>
          <cell r="D3" t="str">
            <v>ΒΑΡΦΗΣ ΙΑΣΩΝ</v>
          </cell>
          <cell r="E3" t="str">
            <v>ΟΑ ΓΟΥΔΗ</v>
          </cell>
          <cell r="F3">
            <v>2</v>
          </cell>
        </row>
        <row r="4">
          <cell r="A4">
            <v>2</v>
          </cell>
          <cell r="C4">
            <v>32472</v>
          </cell>
          <cell r="D4" t="str">
            <v>ΜΑΝΟΥΣΑΚΗΣ ΔΗΜΗΤΡΙΟΣ-ΠΑΝΑΓΙΩΤΗΣ</v>
          </cell>
          <cell r="E4" t="str">
            <v>ΑΚΑ ΜΑΡΑΘΩΝΑ</v>
          </cell>
          <cell r="F4">
            <v>1.75</v>
          </cell>
        </row>
        <row r="5">
          <cell r="A5">
            <v>3</v>
          </cell>
          <cell r="C5">
            <v>27690</v>
          </cell>
          <cell r="D5" t="str">
            <v>ΣΠΥΡΟΠΟΥΛΟΣ ΑΘΑΝΑΣΙΟΣ</v>
          </cell>
          <cell r="E5" t="str">
            <v>ΑΟΑ ΦΙΛΟΘΕΗΣ</v>
          </cell>
          <cell r="F5">
            <v>1.5</v>
          </cell>
        </row>
        <row r="6">
          <cell r="A6">
            <v>4</v>
          </cell>
          <cell r="C6">
            <v>17656</v>
          </cell>
          <cell r="D6" t="str">
            <v>ΑΝΔΡΟΥΤΣΕΛΗΣ ΙΩΑΝΝΗΣ</v>
          </cell>
          <cell r="E6" t="str">
            <v>ΑΟΑ ΠΑΤΡΩΝ</v>
          </cell>
          <cell r="F6">
            <v>0.85</v>
          </cell>
        </row>
        <row r="7">
          <cell r="A7">
            <v>5</v>
          </cell>
          <cell r="C7">
            <v>32212</v>
          </cell>
          <cell r="D7" t="str">
            <v>ΡΑΠΤΗΣ ΚΩΝΣΤΑΝΤΙΝΟΣ</v>
          </cell>
          <cell r="E7" t="str">
            <v>ΣΑ ΡΑΦΗΝΑΣ</v>
          </cell>
          <cell r="F7">
            <v>0.65</v>
          </cell>
        </row>
        <row r="8">
          <cell r="A8">
            <v>6</v>
          </cell>
          <cell r="C8">
            <v>16369</v>
          </cell>
          <cell r="D8" t="str">
            <v>ΜΠΙΣΜΠΙΚΟΣ ΠΙΕΡ</v>
          </cell>
          <cell r="E8" t="str">
            <v>ΟΑ ΑΓ ΠΑΡΑΣΚΕΥΗΣ</v>
          </cell>
          <cell r="F8">
            <v>0.1</v>
          </cell>
        </row>
        <row r="9">
          <cell r="A9">
            <v>7</v>
          </cell>
          <cell r="C9">
            <v>10902</v>
          </cell>
          <cell r="D9" t="str">
            <v>ΧΑΜΑΜΗΣ ΝΙΚΟΛΑΟΣ</v>
          </cell>
          <cell r="E9" t="str">
            <v>ΑΟ ΑΤΛΑΝΤΙΣ</v>
          </cell>
          <cell r="F9">
            <v>0.1</v>
          </cell>
        </row>
        <row r="10">
          <cell r="A10">
            <v>8</v>
          </cell>
          <cell r="C10">
            <v>37610</v>
          </cell>
          <cell r="D10" t="str">
            <v>ΑΝΑΓΝΩΣΤΟΠΟΥΛΟΣ ΣΩΤΗΡΙΟΣ</v>
          </cell>
          <cell r="E10" t="str">
            <v>ΑΜΕΣ Ν ΕΡΥΘΡΑΙΑΣ</v>
          </cell>
          <cell r="F10">
            <v>0.1</v>
          </cell>
        </row>
        <row r="11">
          <cell r="A11">
            <v>9</v>
          </cell>
          <cell r="C11">
            <v>37924</v>
          </cell>
          <cell r="D11" t="str">
            <v>ΓΟΥΤΑΣ ΔΗΜΗΤΡΙΟΣ</v>
          </cell>
          <cell r="E11" t="str">
            <v>ΑΟΑ ΦΙΛΟΘΕΗΣ</v>
          </cell>
          <cell r="F11">
            <v>0</v>
          </cell>
        </row>
        <row r="12">
          <cell r="A12">
            <v>10</v>
          </cell>
          <cell r="C12">
            <v>29760</v>
          </cell>
          <cell r="D12" t="str">
            <v>ΞΥΛΑΣ ΙΩΑΝΝΗΣ</v>
          </cell>
          <cell r="E12" t="str">
            <v>ΠΕΥΚΗ Γ ΚΑΛΟΒΕΛΩΝΗΣ</v>
          </cell>
          <cell r="F12">
            <v>0</v>
          </cell>
        </row>
        <row r="13">
          <cell r="A13">
            <v>11</v>
          </cell>
          <cell r="C13">
            <v>16210</v>
          </cell>
          <cell r="D13" t="str">
            <v>ΠΟΛΙΤΗΣ ΒΕΝΕΔΙΚΤΟΣ</v>
          </cell>
          <cell r="E13" t="str">
            <v>ΟΑ ΣΥΡΟΥ</v>
          </cell>
          <cell r="F13">
            <v>0</v>
          </cell>
        </row>
        <row r="14">
          <cell r="A14">
            <v>12</v>
          </cell>
          <cell r="C14">
            <v>26263</v>
          </cell>
          <cell r="D14" t="str">
            <v>ΚΟΣΜΑΣ ΠΑΝΑΓΙΩΤΗΣ</v>
          </cell>
          <cell r="E14" t="str">
            <v>ΟΑ Ο ΦΙΛΑΘΛΟΣ</v>
          </cell>
          <cell r="F14">
            <v>0</v>
          </cell>
        </row>
        <row r="15">
          <cell r="A15">
            <v>13</v>
          </cell>
          <cell r="C15">
            <v>2459</v>
          </cell>
          <cell r="D15" t="str">
            <v>ΠΟΛΥΔΑΚΗΣ ΓΙΩΡΓΟΣ</v>
          </cell>
          <cell r="E15" t="str">
            <v>ΑΟΑ ΦΙΛΟΘΕΗΣ</v>
          </cell>
          <cell r="F15">
            <v>0</v>
          </cell>
        </row>
        <row r="16">
          <cell r="A16">
            <v>14</v>
          </cell>
          <cell r="C16">
            <v>23357</v>
          </cell>
          <cell r="D16" t="str">
            <v>ΑΝΔΡΟΥΤΣΕΛΗΣ ΑΛΕΞΙΟΣ</v>
          </cell>
          <cell r="E16" t="str">
            <v>ΑΟΑ ΠΑΤΡΩΝ</v>
          </cell>
          <cell r="F16">
            <v>0</v>
          </cell>
        </row>
        <row r="17">
          <cell r="A17">
            <v>15</v>
          </cell>
          <cell r="C17">
            <v>37315</v>
          </cell>
          <cell r="D17" t="str">
            <v>ΜΑΝΩΛΑΣ ΝΙΚΟΛΑΟΣ</v>
          </cell>
          <cell r="E17" t="str">
            <v>ΑΟ ΠΕΥΚΗΣ TIE BREAK</v>
          </cell>
          <cell r="F17">
            <v>0</v>
          </cell>
        </row>
        <row r="18">
          <cell r="A18">
            <v>16</v>
          </cell>
          <cell r="C18">
            <v>19813</v>
          </cell>
          <cell r="D18" t="str">
            <v>ΚΑΒΑΛΛΑΣ ΘΕΟΔΩΡΟΣ</v>
          </cell>
          <cell r="E18" t="str">
            <v>ΓΣ ΗΛΙΟΥΠΟΛΗΣ</v>
          </cell>
          <cell r="F18">
            <v>0</v>
          </cell>
        </row>
        <row r="19">
          <cell r="A19">
            <v>17</v>
          </cell>
          <cell r="C19">
            <v>31257</v>
          </cell>
          <cell r="D19" t="str">
            <v>ΚΟΗΣ ΑΝΔΡΕΑΣ</v>
          </cell>
          <cell r="E19" t="str">
            <v>ΟΑ ΣΥΡΟΥ</v>
          </cell>
          <cell r="F19">
            <v>0</v>
          </cell>
        </row>
        <row r="20">
          <cell r="A20">
            <v>18</v>
          </cell>
          <cell r="C20">
            <v>13819</v>
          </cell>
          <cell r="D20" t="str">
            <v>ΚΟΡΜΑΝΙΩΤΗΣ ΣΠΥΡΟΣ-ΑΛΕΞΑΝΔΡΟΣ</v>
          </cell>
          <cell r="E20" t="str">
            <v>ΣΑ ΓΑΛΑΤΣΙΟΥ</v>
          </cell>
          <cell r="F20">
            <v>0</v>
          </cell>
        </row>
        <row r="21">
          <cell r="A21">
            <v>19</v>
          </cell>
          <cell r="C21">
            <v>16767</v>
          </cell>
          <cell r="D21" t="str">
            <v>ΒΛΑΒΙΑΝΟΣ ΙΑΣΩΝ</v>
          </cell>
          <cell r="E21" t="str">
            <v>ΑΟΑ ΠΑΠΑΓΟΥ</v>
          </cell>
          <cell r="F21">
            <v>0</v>
          </cell>
        </row>
        <row r="22">
          <cell r="A22">
            <v>20</v>
          </cell>
          <cell r="C22">
            <v>18958</v>
          </cell>
          <cell r="D22" t="str">
            <v>ΠΟΥΛΙΟΣ ΝΙΚΟΛΑΟΣ</v>
          </cell>
          <cell r="E22" t="str">
            <v>ΑΟΑ ΗΛΙΟΥΠΟΛΗΣ</v>
          </cell>
          <cell r="F22">
            <v>0</v>
          </cell>
        </row>
        <row r="23">
          <cell r="A23">
            <v>21</v>
          </cell>
          <cell r="C23">
            <v>14657</v>
          </cell>
          <cell r="D23" t="str">
            <v>ΓΛΕΖΟΣ ΜΑΝΩΛΗΣ</v>
          </cell>
          <cell r="E23" t="str">
            <v>ΑΟΑ ΦΙΛΟΘΕΗΣ</v>
          </cell>
          <cell r="F23">
            <v>0</v>
          </cell>
        </row>
        <row r="24">
          <cell r="A24">
            <v>22</v>
          </cell>
          <cell r="C24">
            <v>13330</v>
          </cell>
          <cell r="D24" t="str">
            <v>ΠΕΡΔΙΚΟΓΙΑΝΝΗΣ ΣΤΥΛΙΑΝΟΣ</v>
          </cell>
          <cell r="E24" t="str">
            <v>ΗΡΑΚΛΕΙΟ ΟΑΑ</v>
          </cell>
          <cell r="F24">
            <v>0</v>
          </cell>
        </row>
        <row r="25">
          <cell r="A25">
            <v>23</v>
          </cell>
          <cell r="C25">
            <v>16350</v>
          </cell>
          <cell r="D25" t="str">
            <v>ΝΤΙΡΖΟΥ ΑΝΤΡΕΪ</v>
          </cell>
          <cell r="E25" t="str">
            <v>ΣΦΑ ΜΕΛΙΣΣΙΩΝ Ο ΦΟΙΒΟΣ</v>
          </cell>
          <cell r="F25">
            <v>0</v>
          </cell>
        </row>
        <row r="26">
          <cell r="A26">
            <v>24</v>
          </cell>
          <cell r="C26">
            <v>2080</v>
          </cell>
          <cell r="D26" t="str">
            <v>ΒΟΥΤΣΑΣ ΘΕΟΔΩΡΟΣ</v>
          </cell>
          <cell r="E26" t="str">
            <v>ΟΑ ΜΑΓΝΗΣΙΑΣ</v>
          </cell>
          <cell r="F26">
            <v>0</v>
          </cell>
        </row>
        <row r="27">
          <cell r="A27">
            <v>25</v>
          </cell>
          <cell r="C27">
            <v>19851</v>
          </cell>
          <cell r="D27" t="str">
            <v>ΜΠΙΣΜΠΙΚΟΣ ΝΙΚΟΛΑΣ</v>
          </cell>
          <cell r="E27" t="str">
            <v>ΟΑ ΑΓ ΠΑΡΑΣΚΕΥΗΣ</v>
          </cell>
          <cell r="F27">
            <v>0</v>
          </cell>
        </row>
        <row r="28">
          <cell r="A28">
            <v>26</v>
          </cell>
          <cell r="C28">
            <v>32605</v>
          </cell>
          <cell r="D28" t="str">
            <v>ΚΥΠΡΙΩΤΗΣ ΕΥΑΓΓΕΛΟΣ</v>
          </cell>
          <cell r="E28" t="str">
            <v>ΟΑ ΑΘΗΝΩΝ</v>
          </cell>
          <cell r="F28">
            <v>0</v>
          </cell>
        </row>
        <row r="29">
          <cell r="A29">
            <v>27</v>
          </cell>
          <cell r="C29">
            <v>29500</v>
          </cell>
          <cell r="D29" t="str">
            <v>ΤΡΙΑΝΤΑΦΥΛΛΟΥ ΝΤΑΝΙΕΛ</v>
          </cell>
          <cell r="E29" t="str">
            <v>ΟΑ ΑΝΑΦΛΥΣΤΟΣ ΣΑΡΩΝΙΔΑΣ</v>
          </cell>
          <cell r="F29">
            <v>0</v>
          </cell>
        </row>
        <row r="30">
          <cell r="A30">
            <v>28</v>
          </cell>
          <cell r="C30">
            <v>26317</v>
          </cell>
          <cell r="D30" t="str">
            <v>ΚΩΣΤΑΡΑΣ ΠΑΝΑΓΙΩΤΗΣ</v>
          </cell>
          <cell r="E30" t="str">
            <v>ΟΑ ΠΕΤΡΟΥΠΟΛΗΣ</v>
          </cell>
          <cell r="F30">
            <v>0</v>
          </cell>
        </row>
        <row r="31">
          <cell r="A31">
            <v>29</v>
          </cell>
          <cell r="C31">
            <v>32761</v>
          </cell>
          <cell r="D31" t="str">
            <v>ΜΙΝΤΑΣ ΝΙΚΟΛΑΟΣ</v>
          </cell>
          <cell r="E31" t="str">
            <v>ΠΕΥΚΗ Γ ΚΑΛΟΒΕΛΩΝΗΣ</v>
          </cell>
          <cell r="F31">
            <v>0</v>
          </cell>
        </row>
        <row r="32">
          <cell r="A32">
            <v>30</v>
          </cell>
          <cell r="C32">
            <v>3115</v>
          </cell>
          <cell r="D32" t="str">
            <v>ΖΑΒΟΛΕΑΣ ΓΕΩΡΓΙΟΣ</v>
          </cell>
          <cell r="E32" t="str">
            <v>ΓΣ ΚΗΦΙΣΙΑΣ</v>
          </cell>
          <cell r="F32">
            <v>0</v>
          </cell>
        </row>
        <row r="33">
          <cell r="A33">
            <v>31</v>
          </cell>
          <cell r="C33">
            <v>4133</v>
          </cell>
          <cell r="D33" t="str">
            <v>ΛΙΟΛΗΣ ΓΕΩΡΓΙΟΣ</v>
          </cell>
          <cell r="E33" t="str">
            <v>ΑΟΑ ΑΡΓΥΡΟΥΠΟΛΗΣ</v>
          </cell>
          <cell r="F33">
            <v>0</v>
          </cell>
        </row>
        <row r="34">
          <cell r="A34">
            <v>32</v>
          </cell>
          <cell r="C34">
            <v>1478</v>
          </cell>
          <cell r="D34" t="str">
            <v>ΖΗΤΡΙΔΗΣ ΑΛΕΞΙΟΣ</v>
          </cell>
          <cell r="E34" t="str">
            <v>ΑΟΑ ΦΙΛΟΘΕΗΣ</v>
          </cell>
          <cell r="F34">
            <v>0</v>
          </cell>
        </row>
        <row r="35">
          <cell r="A35">
            <v>33</v>
          </cell>
          <cell r="C35">
            <v>1538</v>
          </cell>
          <cell r="D35" t="str">
            <v>ΣΚΑΡΛΑΤΙΔΗΣ ΑΛΕΞΑΝΔΡΟΣ-ΔΗΜΗΤΡΙΟΣ</v>
          </cell>
          <cell r="E35" t="str">
            <v>ΑΟ ΚΗΦΙΣΙΑΣ</v>
          </cell>
          <cell r="F35">
            <v>0</v>
          </cell>
        </row>
        <row r="36">
          <cell r="A36">
            <v>34</v>
          </cell>
          <cell r="C36">
            <v>30989</v>
          </cell>
          <cell r="D36" t="str">
            <v>ΓΚΙΘΚΟΠΟΥΛΟΣ ΑΡΙΣΤΟΤΕΛΗΣ</v>
          </cell>
          <cell r="E36" t="str">
            <v>ΑΟ ΠΕΥΚΗΣ TIE BREAK</v>
          </cell>
          <cell r="F36">
            <v>0</v>
          </cell>
        </row>
        <row r="37">
          <cell r="A37">
            <v>35</v>
          </cell>
          <cell r="C37">
            <v>31285</v>
          </cell>
          <cell r="D37" t="str">
            <v>ΚΩΣΤΟΥΡΟΣ ΔΗΜΗΤΡΙΟΣ</v>
          </cell>
          <cell r="E37" t="str">
            <v>ΠΕΥΚΗ Γ ΚΑΛΟΒΕΛΩΝΗΣ</v>
          </cell>
          <cell r="F37">
            <v>0</v>
          </cell>
        </row>
        <row r="38">
          <cell r="A38">
            <v>36</v>
          </cell>
          <cell r="C38">
            <v>7243</v>
          </cell>
          <cell r="D38" t="str">
            <v>ΠΑΠΑΧΡΙΣΤΟΠΟΥΛΟΣ ΦΙΛΙΠΠΑΣ</v>
          </cell>
          <cell r="E38" t="str">
            <v>ΑΟΑ ΦΙΛΟΘΕΗΣ</v>
          </cell>
          <cell r="F38">
            <v>0</v>
          </cell>
        </row>
        <row r="39">
          <cell r="A39">
            <v>37</v>
          </cell>
          <cell r="C39">
            <v>29611</v>
          </cell>
          <cell r="D39" t="str">
            <v>ΚΙΟΥΣΗΣ ΕΥΑΓΓΕΛΟΣ</v>
          </cell>
          <cell r="E39" t="str">
            <v>ΑΙΟΛΟΣ ΑΛ ΙΛΙΟΥ</v>
          </cell>
          <cell r="F39">
            <v>0</v>
          </cell>
        </row>
        <row r="40">
          <cell r="A40">
            <v>38</v>
          </cell>
          <cell r="C40">
            <v>30312</v>
          </cell>
          <cell r="D40" t="str">
            <v>ΜΕΝΕΞΕΛΗΣ ΟΔΥΣΣΕΑΣ</v>
          </cell>
          <cell r="E40" t="str">
            <v>ΠΕΥΚΗ Γ ΚΑΛΟΒΕΛΩΝΗΣ</v>
          </cell>
          <cell r="F40">
            <v>0</v>
          </cell>
        </row>
        <row r="41">
          <cell r="A41">
            <v>39</v>
          </cell>
          <cell r="C41">
            <v>10419</v>
          </cell>
          <cell r="D41" t="str">
            <v>ΣΕΛΕΠΕΣ ΦΡΑΓΚΙΣΚΟΣ</v>
          </cell>
          <cell r="E41" t="str">
            <v>ΑΝΟ ΓΛΥΦΑΔΑΣ</v>
          </cell>
          <cell r="F41">
            <v>0</v>
          </cell>
        </row>
        <row r="42">
          <cell r="A42">
            <v>40</v>
          </cell>
        </row>
        <row r="43">
          <cell r="A43">
            <v>41</v>
          </cell>
        </row>
        <row r="44">
          <cell r="A44">
            <v>42</v>
          </cell>
        </row>
        <row r="45">
          <cell r="A45">
            <v>43</v>
          </cell>
        </row>
        <row r="46">
          <cell r="A46">
            <v>44</v>
          </cell>
        </row>
        <row r="47">
          <cell r="A47">
            <v>45</v>
          </cell>
        </row>
        <row r="48">
          <cell r="A48">
            <v>46</v>
          </cell>
        </row>
        <row r="49">
          <cell r="A49">
            <v>47</v>
          </cell>
        </row>
        <row r="50">
          <cell r="A50">
            <v>48</v>
          </cell>
        </row>
        <row r="51">
          <cell r="A51">
            <v>49</v>
          </cell>
        </row>
        <row r="52">
          <cell r="A52">
            <v>50</v>
          </cell>
        </row>
        <row r="53">
          <cell r="A53">
            <v>51</v>
          </cell>
        </row>
        <row r="54">
          <cell r="A54">
            <v>52</v>
          </cell>
        </row>
        <row r="55">
          <cell r="A55">
            <v>53</v>
          </cell>
        </row>
        <row r="56">
          <cell r="A56">
            <v>54</v>
          </cell>
        </row>
        <row r="57">
          <cell r="A57">
            <v>55</v>
          </cell>
        </row>
        <row r="58">
          <cell r="A58">
            <v>56</v>
          </cell>
        </row>
        <row r="59">
          <cell r="A59">
            <v>57</v>
          </cell>
        </row>
        <row r="60">
          <cell r="A60">
            <v>58</v>
          </cell>
        </row>
        <row r="61">
          <cell r="A61">
            <v>59</v>
          </cell>
        </row>
        <row r="62">
          <cell r="A62">
            <v>60</v>
          </cell>
        </row>
        <row r="63">
          <cell r="A63">
            <v>61</v>
          </cell>
        </row>
        <row r="64">
          <cell r="A64">
            <v>62</v>
          </cell>
        </row>
        <row r="65">
          <cell r="A65">
            <v>63</v>
          </cell>
        </row>
        <row r="66">
          <cell r="A66">
            <v>64</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rawPrep"/>
      <sheetName val="mmd"/>
      <sheetName val="PrgPrep"/>
      <sheetName val="Day1"/>
      <sheetName val="Day2"/>
      <sheetName val="notes"/>
      <sheetName val="tmp"/>
      <sheetName val="tmpRankings"/>
      <sheetName val="ms"/>
    </sheetNames>
    <definedNames>
      <definedName name="Sheet2pdf"/>
    </definedNames>
    <sheetDataSet>
      <sheetData sheetId="0">
        <row r="2">
          <cell r="E2">
            <v>4</v>
          </cell>
        </row>
        <row r="3">
          <cell r="B3" t="str">
            <v>Η ΕΝΩΣΗ</v>
          </cell>
          <cell r="E3">
            <v>3</v>
          </cell>
        </row>
        <row r="4">
          <cell r="B4" t="str">
            <v>ΟΡΕΝ MASTER</v>
          </cell>
        </row>
        <row r="6">
          <cell r="B6" t="str">
            <v>ΑΟΑ ΦΙΛΟΘΕΗΣ</v>
          </cell>
        </row>
        <row r="7">
          <cell r="B7" t="str">
            <v>ms md</v>
          </cell>
        </row>
        <row r="8">
          <cell r="B8" t="str">
            <v>17</v>
          </cell>
        </row>
        <row r="9">
          <cell r="B9" t="str">
            <v>22 Οκτ</v>
          </cell>
        </row>
        <row r="10">
          <cell r="B10" t="str">
            <v>Τ.Ταμπόση</v>
          </cell>
        </row>
        <row r="12">
          <cell r="G12">
            <v>1</v>
          </cell>
          <cell r="H12">
            <v>1</v>
          </cell>
        </row>
        <row r="13">
          <cell r="G13">
            <v>2</v>
          </cell>
          <cell r="H13">
            <v>2</v>
          </cell>
        </row>
        <row r="14">
          <cell r="G14">
            <v>3</v>
          </cell>
          <cell r="H14">
            <v>3</v>
          </cell>
        </row>
        <row r="15">
          <cell r="G15">
            <v>4</v>
          </cell>
          <cell r="H15">
            <v>4</v>
          </cell>
        </row>
        <row r="16">
          <cell r="G16">
            <v>5</v>
          </cell>
          <cell r="H16">
            <v>14</v>
          </cell>
        </row>
        <row r="17">
          <cell r="G17">
            <v>6</v>
          </cell>
          <cell r="H17">
            <v>6</v>
          </cell>
        </row>
        <row r="18">
          <cell r="B18">
            <v>0</v>
          </cell>
          <cell r="G18">
            <v>7</v>
          </cell>
          <cell r="H18">
            <v>13</v>
          </cell>
        </row>
        <row r="19">
          <cell r="B19">
            <v>4</v>
          </cell>
          <cell r="G19">
            <v>8</v>
          </cell>
          <cell r="H19">
            <v>10</v>
          </cell>
        </row>
        <row r="20">
          <cell r="G20">
            <v>9</v>
          </cell>
          <cell r="H20">
            <v>16</v>
          </cell>
        </row>
        <row r="21">
          <cell r="G21">
            <v>10</v>
          </cell>
          <cell r="H21">
            <v>5</v>
          </cell>
        </row>
        <row r="22">
          <cell r="G22">
            <v>11</v>
          </cell>
          <cell r="H22">
            <v>11</v>
          </cell>
        </row>
        <row r="23">
          <cell r="G23">
            <v>12</v>
          </cell>
          <cell r="H23">
            <v>9</v>
          </cell>
        </row>
        <row r="24">
          <cell r="B24" t="str">
            <v>ok</v>
          </cell>
          <cell r="G24">
            <v>13</v>
          </cell>
          <cell r="H24">
            <v>15</v>
          </cell>
        </row>
        <row r="25">
          <cell r="G25">
            <v>14</v>
          </cell>
          <cell r="H25">
            <v>7</v>
          </cell>
        </row>
        <row r="26">
          <cell r="G26">
            <v>15</v>
          </cell>
          <cell r="H26">
            <v>12</v>
          </cell>
        </row>
        <row r="27">
          <cell r="G27">
            <v>16</v>
          </cell>
          <cell r="H27">
            <v>8</v>
          </cell>
        </row>
      </sheetData>
      <sheetData sheetId="1">
        <row r="3">
          <cell r="A3">
            <v>1</v>
          </cell>
          <cell r="C3">
            <v>14059</v>
          </cell>
          <cell r="D3" t="str">
            <v>ΓΕΜΟΥΧΙΔΗΣ ΠΑΡΙΣ</v>
          </cell>
          <cell r="E3" t="str">
            <v>ΟΑ ΓΛΥΦΑΔΑΣ</v>
          </cell>
          <cell r="F3">
            <v>10.5</v>
          </cell>
        </row>
        <row r="4">
          <cell r="A4">
            <v>2</v>
          </cell>
          <cell r="C4">
            <v>10759</v>
          </cell>
          <cell r="D4" t="str">
            <v>ΑΓΓΕΛΙΝΟΣ ΘΕΟΔΩΡΟΣ</v>
          </cell>
          <cell r="E4" t="str">
            <v>ΟΑ ΓΛΥΦΑΔΑΣ</v>
          </cell>
          <cell r="F4">
            <v>8</v>
          </cell>
        </row>
        <row r="5">
          <cell r="A5">
            <v>3</v>
          </cell>
          <cell r="C5">
            <v>10888</v>
          </cell>
          <cell r="D5" t="str">
            <v>ΜΟΥΡΑΤΟΓΛΟΥ ΑΡΙΣΤΟΤΕΛΗΣ</v>
          </cell>
          <cell r="E5" t="str">
            <v>ΑΟΑ ΦΙΛΟΘΕΗΣ</v>
          </cell>
          <cell r="F5">
            <v>7.5</v>
          </cell>
        </row>
        <row r="6">
          <cell r="A6">
            <v>4</v>
          </cell>
          <cell r="C6">
            <v>30054</v>
          </cell>
          <cell r="D6" t="str">
            <v>ΣΑΚΕΛΛΑΡΙΔΗΣ ΜΙΧΑΛΗΣ</v>
          </cell>
          <cell r="E6" t="str">
            <v>ΑΟΑ ΠΑΠΑΓΟΥ</v>
          </cell>
          <cell r="F6">
            <v>5</v>
          </cell>
        </row>
        <row r="7">
          <cell r="A7">
            <v>5</v>
          </cell>
          <cell r="C7">
            <v>29544</v>
          </cell>
          <cell r="D7" t="str">
            <v>ΚΩΣΤΙΚΟΓΛΟΥ ΜΙΧΑΛΗΣ</v>
          </cell>
          <cell r="E7" t="str">
            <v>ΑΟΑ ΦΙΛΟΘΕΗΣ</v>
          </cell>
          <cell r="F7">
            <v>4.25</v>
          </cell>
        </row>
        <row r="8">
          <cell r="A8">
            <v>6</v>
          </cell>
          <cell r="C8">
            <v>33453</v>
          </cell>
          <cell r="D8" t="str">
            <v>ΣΤΑΥΡΟΠΟΥΛΟΣ ΜΑΡΙΟΣ-ΦΩΤΙΟΣ</v>
          </cell>
          <cell r="E8" t="str">
            <v>ΑΟΑ ΦΙΛΟΘΕΗΣ</v>
          </cell>
          <cell r="F8">
            <v>3.25</v>
          </cell>
        </row>
        <row r="9">
          <cell r="A9">
            <v>7</v>
          </cell>
          <cell r="C9">
            <v>15522</v>
          </cell>
          <cell r="D9" t="str">
            <v>ΓΙΑΝΝΑΚΑΚΗΣ ΗΛΙΑΣ</v>
          </cell>
          <cell r="E9" t="str">
            <v>ΟΑ ΑΘΗΝΩΝ</v>
          </cell>
          <cell r="F9">
            <v>3</v>
          </cell>
        </row>
        <row r="10">
          <cell r="A10">
            <v>8</v>
          </cell>
          <cell r="B10" t="str">
            <v>wc</v>
          </cell>
          <cell r="C10">
            <v>21744</v>
          </cell>
          <cell r="D10" t="str">
            <v>ΚΑΛΟΒΕΛΩΝΗΣ ΜΑΡΚΟΣ</v>
          </cell>
          <cell r="E10" t="str">
            <v>ΟΑ ΑΘΗΝΩΝ</v>
          </cell>
          <cell r="F10">
            <v>1.5</v>
          </cell>
        </row>
        <row r="11">
          <cell r="A11">
            <v>9</v>
          </cell>
          <cell r="C11">
            <v>1</v>
          </cell>
          <cell r="D11" t="str">
            <v>q</v>
          </cell>
        </row>
        <row r="12">
          <cell r="A12">
            <v>10</v>
          </cell>
          <cell r="C12">
            <v>2</v>
          </cell>
          <cell r="D12" t="str">
            <v>q</v>
          </cell>
        </row>
        <row r="13">
          <cell r="A13">
            <v>11</v>
          </cell>
          <cell r="C13">
            <v>3</v>
          </cell>
          <cell r="D13" t="str">
            <v>q</v>
          </cell>
        </row>
        <row r="14">
          <cell r="A14">
            <v>12</v>
          </cell>
          <cell r="C14">
            <v>4</v>
          </cell>
          <cell r="D14" t="str">
            <v>q</v>
          </cell>
        </row>
        <row r="15">
          <cell r="A15">
            <v>13</v>
          </cell>
          <cell r="C15">
            <v>5</v>
          </cell>
          <cell r="D15" t="str">
            <v>q</v>
          </cell>
        </row>
        <row r="16">
          <cell r="A16">
            <v>14</v>
          </cell>
          <cell r="C16">
            <v>6</v>
          </cell>
          <cell r="D16" t="str">
            <v>q</v>
          </cell>
        </row>
        <row r="17">
          <cell r="A17">
            <v>15</v>
          </cell>
          <cell r="C17">
            <v>7</v>
          </cell>
          <cell r="D17" t="str">
            <v>q</v>
          </cell>
        </row>
        <row r="18">
          <cell r="A18">
            <v>16</v>
          </cell>
          <cell r="C18">
            <v>8</v>
          </cell>
          <cell r="D18" t="str">
            <v>q</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rawPrep"/>
      <sheetName val="ws"/>
      <sheetName val="PrgPrep"/>
      <sheetName val="Day1"/>
      <sheetName val="Day2"/>
      <sheetName val="notes"/>
      <sheetName val="tmp"/>
      <sheetName val="tmpRankings"/>
    </sheetNames>
    <definedNames>
      <definedName name="Sheet2pdf"/>
    </definedNames>
    <sheetDataSet>
      <sheetData sheetId="0">
        <row r="2">
          <cell r="E2">
            <v>3</v>
          </cell>
          <cell r="K2">
            <v>0</v>
          </cell>
          <cell r="L2">
            <v>0</v>
          </cell>
        </row>
        <row r="3">
          <cell r="B3" t="str">
            <v>Η ΕΝΩΣΗ</v>
          </cell>
          <cell r="E3">
            <v>4</v>
          </cell>
          <cell r="K3">
            <v>0</v>
          </cell>
          <cell r="L3">
            <v>0</v>
          </cell>
        </row>
        <row r="4">
          <cell r="B4" t="str">
            <v>ΟΡΕΝ MASTER</v>
          </cell>
          <cell r="K4">
            <v>0</v>
          </cell>
          <cell r="L4">
            <v>0</v>
          </cell>
        </row>
        <row r="5">
          <cell r="E5" t="str">
            <v>6</v>
          </cell>
          <cell r="K5">
            <v>0</v>
          </cell>
          <cell r="L5">
            <v>0</v>
          </cell>
        </row>
        <row r="6">
          <cell r="B6" t="str">
            <v>ΑΟΑ ΦΙΛΟΘΕΗΣ</v>
          </cell>
          <cell r="E6" t="str">
            <v>7</v>
          </cell>
          <cell r="K6">
            <v>0</v>
          </cell>
          <cell r="L6">
            <v>0</v>
          </cell>
        </row>
        <row r="7">
          <cell r="B7" t="str">
            <v>Women md</v>
          </cell>
          <cell r="E7" t="str">
            <v>8</v>
          </cell>
          <cell r="K7">
            <v>0</v>
          </cell>
          <cell r="L7">
            <v>0</v>
          </cell>
        </row>
        <row r="8">
          <cell r="B8" t="str">
            <v>17</v>
          </cell>
          <cell r="E8" t="str">
            <v>5</v>
          </cell>
          <cell r="K8">
            <v>0</v>
          </cell>
          <cell r="L8">
            <v>0</v>
          </cell>
        </row>
        <row r="9">
          <cell r="B9" t="str">
            <v>22 Οκτ</v>
          </cell>
          <cell r="K9">
            <v>0</v>
          </cell>
          <cell r="L9">
            <v>0</v>
          </cell>
        </row>
        <row r="10">
          <cell r="B10" t="str">
            <v>Τ.Ταμπόση</v>
          </cell>
          <cell r="K10">
            <v>0</v>
          </cell>
          <cell r="L10">
            <v>0</v>
          </cell>
        </row>
        <row r="11">
          <cell r="K11">
            <v>0</v>
          </cell>
          <cell r="L11">
            <v>0</v>
          </cell>
        </row>
        <row r="12">
          <cell r="K12">
            <v>0</v>
          </cell>
          <cell r="L12">
            <v>0</v>
          </cell>
        </row>
        <row r="13">
          <cell r="K13">
            <v>1</v>
          </cell>
          <cell r="L13">
            <v>1</v>
          </cell>
        </row>
        <row r="14">
          <cell r="K14">
            <v>2</v>
          </cell>
          <cell r="L14">
            <v>2</v>
          </cell>
        </row>
        <row r="15">
          <cell r="K15">
            <v>3</v>
          </cell>
          <cell r="L15">
            <v>3</v>
          </cell>
        </row>
        <row r="16">
          <cell r="K16">
            <v>4</v>
          </cell>
          <cell r="L16">
            <v>4</v>
          </cell>
        </row>
        <row r="17">
          <cell r="K17">
            <v>5</v>
          </cell>
          <cell r="L17">
            <v>5</v>
          </cell>
        </row>
        <row r="18">
          <cell r="B18">
            <v>11</v>
          </cell>
          <cell r="K18">
            <v>6</v>
          </cell>
          <cell r="L18">
            <v>6</v>
          </cell>
        </row>
        <row r="19">
          <cell r="B19">
            <v>8</v>
          </cell>
          <cell r="K19">
            <v>7</v>
          </cell>
          <cell r="L19">
            <v>7</v>
          </cell>
        </row>
        <row r="20">
          <cell r="K20">
            <v>8</v>
          </cell>
          <cell r="L20">
            <v>8</v>
          </cell>
        </row>
        <row r="21">
          <cell r="K21">
            <v>9</v>
          </cell>
          <cell r="L21">
            <v>16</v>
          </cell>
        </row>
        <row r="22">
          <cell r="K22">
            <v>10</v>
          </cell>
          <cell r="L22">
            <v>12</v>
          </cell>
        </row>
        <row r="23">
          <cell r="K23">
            <v>11</v>
          </cell>
          <cell r="L23">
            <v>17</v>
          </cell>
        </row>
        <row r="24">
          <cell r="B24" t="str">
            <v>ok</v>
          </cell>
          <cell r="K24">
            <v>12</v>
          </cell>
          <cell r="L24">
            <v>13</v>
          </cell>
        </row>
        <row r="25">
          <cell r="K25">
            <v>13</v>
          </cell>
          <cell r="L25">
            <v>11</v>
          </cell>
        </row>
        <row r="26">
          <cell r="K26">
            <v>14</v>
          </cell>
          <cell r="L26">
            <v>10</v>
          </cell>
        </row>
        <row r="27">
          <cell r="K27">
            <v>15</v>
          </cell>
          <cell r="L27">
            <v>19</v>
          </cell>
        </row>
        <row r="28">
          <cell r="K28">
            <v>16</v>
          </cell>
          <cell r="L28">
            <v>15</v>
          </cell>
        </row>
        <row r="29">
          <cell r="K29">
            <v>17</v>
          </cell>
          <cell r="L29">
            <v>9</v>
          </cell>
        </row>
        <row r="30">
          <cell r="K30">
            <v>18</v>
          </cell>
          <cell r="L30">
            <v>21</v>
          </cell>
        </row>
        <row r="31">
          <cell r="K31">
            <v>19</v>
          </cell>
          <cell r="L31">
            <v>20</v>
          </cell>
        </row>
        <row r="32">
          <cell r="K32">
            <v>20</v>
          </cell>
          <cell r="L32">
            <v>18</v>
          </cell>
        </row>
        <row r="33">
          <cell r="K33">
            <v>21</v>
          </cell>
          <cell r="L33">
            <v>14</v>
          </cell>
        </row>
      </sheetData>
      <sheetData sheetId="1">
        <row r="3">
          <cell r="A3">
            <v>1</v>
          </cell>
          <cell r="C3">
            <v>26107</v>
          </cell>
          <cell r="D3" t="str">
            <v>ΑΝΤΩΝΑΚΗ ΕΜΜΑΝΟΥΕΛΑ</v>
          </cell>
          <cell r="E3" t="str">
            <v>ΑΟΑ ΑΤΤΙΚΟΣ ΗΛΙΟΣ</v>
          </cell>
          <cell r="F3">
            <v>18</v>
          </cell>
        </row>
        <row r="4">
          <cell r="A4">
            <v>2</v>
          </cell>
          <cell r="C4">
            <v>21937</v>
          </cell>
          <cell r="D4" t="str">
            <v>ΚΑΪΡΗ ΑΓΓΕΛΙΚΗ</v>
          </cell>
          <cell r="E4" t="str">
            <v>ΟΑ ΑΘΗΝΩΝ</v>
          </cell>
          <cell r="F4">
            <v>6</v>
          </cell>
        </row>
        <row r="5">
          <cell r="A5">
            <v>3</v>
          </cell>
          <cell r="C5">
            <v>34427</v>
          </cell>
          <cell r="D5" t="str">
            <v>ΣΑΚΕΛΛΑΡΙΔΗ ΣΑΠΦΩ</v>
          </cell>
          <cell r="E5" t="str">
            <v>ΑΟΑ ΠΑΠΑΓΟΥ</v>
          </cell>
          <cell r="F5">
            <v>3</v>
          </cell>
        </row>
        <row r="6">
          <cell r="A6">
            <v>4</v>
          </cell>
          <cell r="C6">
            <v>27688</v>
          </cell>
          <cell r="D6" t="str">
            <v>ΝΙΚΟΛΟΠΟΥΛΟΥ ΝΑΤΑΛΙΑ</v>
          </cell>
          <cell r="E6" t="str">
            <v>ΑΟΑ ΦΙΛΟΘΕΗΣ</v>
          </cell>
          <cell r="F6">
            <v>3</v>
          </cell>
        </row>
        <row r="7">
          <cell r="A7">
            <v>5</v>
          </cell>
          <cell r="C7">
            <v>35538</v>
          </cell>
          <cell r="D7" t="str">
            <v>ΒΑΣΙΛΕΙΑΔΗ ΜΑΡΙΑ</v>
          </cell>
          <cell r="E7" t="str">
            <v>ΑΟΑ ΦΙΛΟΘΕΗΣ</v>
          </cell>
          <cell r="F7">
            <v>1.6</v>
          </cell>
        </row>
        <row r="8">
          <cell r="A8">
            <v>6</v>
          </cell>
          <cell r="C8">
            <v>30773</v>
          </cell>
          <cell r="D8" t="str">
            <v>ΡΕΝΤΟΥΜΗ ΧΡΥΣΟΥΛΑ</v>
          </cell>
          <cell r="E8" t="str">
            <v>ΣΑ ΡΑΦΗΝΑΣ</v>
          </cell>
          <cell r="F8">
            <v>0.65</v>
          </cell>
        </row>
        <row r="9">
          <cell r="A9">
            <v>7</v>
          </cell>
          <cell r="C9">
            <v>4835</v>
          </cell>
          <cell r="D9" t="str">
            <v>ΚΑΠΙΤΣΑΚΗ ΕΛΕΝΗ</v>
          </cell>
          <cell r="E9" t="str">
            <v>ΟΑ ΚΕΡΑΤΣΙΝΙΟΥ</v>
          </cell>
          <cell r="F9">
            <v>0.5</v>
          </cell>
        </row>
        <row r="10">
          <cell r="A10">
            <v>8</v>
          </cell>
          <cell r="C10">
            <v>30318</v>
          </cell>
          <cell r="D10" t="str">
            <v>ΤΣΑΔΑΡΗ ΙΩΑΝΝΑ-ΔΗΜΗΤΡΑ</v>
          </cell>
          <cell r="E10" t="str">
            <v>ΟΑ ΠΕΤΡΟΥΠΟΛΗΣ</v>
          </cell>
          <cell r="F10">
            <v>0.5</v>
          </cell>
        </row>
        <row r="11">
          <cell r="A11">
            <v>9</v>
          </cell>
          <cell r="C11">
            <v>31131</v>
          </cell>
          <cell r="D11" t="str">
            <v>ΔΗΜΗΤΡΑΚΟΠΟΥΛΟΥ ΣΕΜΕΛΗ-ΕΥΓΕΝΙΑ-ΕΛΙΣΑΒΕΤ</v>
          </cell>
          <cell r="E11" t="str">
            <v>ΑΣ ΑΚΡΟΠΟΛΙΣ</v>
          </cell>
          <cell r="F11">
            <v>0.5</v>
          </cell>
        </row>
        <row r="12">
          <cell r="A12">
            <v>10</v>
          </cell>
          <cell r="C12">
            <v>33920</v>
          </cell>
          <cell r="D12" t="str">
            <v>ΠΛΑΤΣΙΩΤΑ ΡΑΦΑΕΛΑ</v>
          </cell>
          <cell r="E12" t="str">
            <v>ΑΟΑ ΑΤΤΙΚΟΣ ΗΛΙΟΣ</v>
          </cell>
          <cell r="F12">
            <v>0.1</v>
          </cell>
        </row>
        <row r="13">
          <cell r="A13">
            <v>11</v>
          </cell>
          <cell r="C13">
            <v>37314</v>
          </cell>
          <cell r="D13" t="str">
            <v>ΜΑΝΩΛΑ ΚΩΝΣΤΑΝΤΙΝΑ</v>
          </cell>
          <cell r="E13" t="str">
            <v>ΑΟ ΠΕΥΚΗΣ TIE BREAK</v>
          </cell>
          <cell r="F13">
            <v>0.1</v>
          </cell>
        </row>
        <row r="14">
          <cell r="A14">
            <v>12</v>
          </cell>
          <cell r="C14">
            <v>90158</v>
          </cell>
          <cell r="D14" t="str">
            <v>ΤΟΝΤΟΡΟΒΑ ΓΚΑΜΠΡΙΕΛΑ</v>
          </cell>
          <cell r="E14" t="str">
            <v>ΑΟΑ ΦΙΛΟΘΕΗΣ</v>
          </cell>
          <cell r="F14">
            <v>0</v>
          </cell>
        </row>
        <row r="15">
          <cell r="A15">
            <v>13</v>
          </cell>
          <cell r="C15">
            <v>6177</v>
          </cell>
          <cell r="D15" t="str">
            <v>ΠΑΠΑΔΗΜΗΤΡΙΟΥ ΕΥΑΓΓΕΛΙΑ</v>
          </cell>
          <cell r="E15" t="str">
            <v>ΑΟ ΚΗΦΙΣΙΑΣ</v>
          </cell>
          <cell r="F15">
            <v>0</v>
          </cell>
        </row>
        <row r="16">
          <cell r="A16">
            <v>14</v>
          </cell>
          <cell r="C16">
            <v>39453</v>
          </cell>
          <cell r="D16" t="str">
            <v>ΡΕΝΤΟΥΜΗ ΜΑΡΙΑ</v>
          </cell>
          <cell r="E16" t="str">
            <v>ΣΑ ΡΑΦΗΝΑΣ</v>
          </cell>
          <cell r="F16">
            <v>0</v>
          </cell>
        </row>
        <row r="17">
          <cell r="A17">
            <v>15</v>
          </cell>
          <cell r="C17">
            <v>22914</v>
          </cell>
          <cell r="D17" t="str">
            <v>ΓΕΝΝΗΜΑΤΑ ΜΑΡΙΝΑ</v>
          </cell>
          <cell r="E17" t="str">
            <v>ΑΚΑ ΜΑΡΑΘΩΝΑ</v>
          </cell>
          <cell r="F17">
            <v>0</v>
          </cell>
        </row>
        <row r="18">
          <cell r="A18">
            <v>16</v>
          </cell>
          <cell r="C18">
            <v>13507</v>
          </cell>
          <cell r="D18" t="str">
            <v>ΒΑΣΙΛΕΙΑΔΟΥ ΕΙΡΗΝΗ</v>
          </cell>
          <cell r="E18" t="str">
            <v>ΟΑ ΒΟΥΛΙΑΓΜΕΝΗΣ Μ ΑΣΣΟΙ</v>
          </cell>
          <cell r="F18">
            <v>0</v>
          </cell>
        </row>
        <row r="19">
          <cell r="A19">
            <v>17</v>
          </cell>
          <cell r="C19">
            <v>22934</v>
          </cell>
          <cell r="D19" t="str">
            <v>ΑΘΑΝΙΤΗ ΝΙΚΟΛΙΤΣΑ</v>
          </cell>
          <cell r="E19" t="str">
            <v>ΑΟ ΦΟΥΡΕΣΙ ΓΛ ΝΕΡΩΝ</v>
          </cell>
          <cell r="F19">
            <v>0</v>
          </cell>
        </row>
        <row r="20">
          <cell r="A20">
            <v>18</v>
          </cell>
          <cell r="C20">
            <v>33310</v>
          </cell>
          <cell r="D20" t="str">
            <v>ΛΟΓΟΘΕΤΗ ΕΛΛΗ-ΕΛΕΝΗ</v>
          </cell>
          <cell r="E20" t="str">
            <v>ΑΟΑ ΠΑΠΑΓΟΥ</v>
          </cell>
          <cell r="F20">
            <v>0</v>
          </cell>
        </row>
        <row r="21">
          <cell r="A21">
            <v>19</v>
          </cell>
          <cell r="C21">
            <v>28170</v>
          </cell>
          <cell r="D21" t="str">
            <v>ΤΣΕΛΟΥ ΑΘΑΝΑΣΙΑ</v>
          </cell>
          <cell r="E21" t="str">
            <v>ΑΟΑ ΠΑΠΑΓΟΥ</v>
          </cell>
          <cell r="F21">
            <v>0</v>
          </cell>
        </row>
        <row r="22">
          <cell r="A22">
            <v>20</v>
          </cell>
          <cell r="C22">
            <v>10452</v>
          </cell>
          <cell r="D22" t="str">
            <v>ΓΕΡΑΣΙΜΟΥ ΑΝΝΑ</v>
          </cell>
          <cell r="E22" t="str">
            <v>ΟΑ ΑΘΗΝΩΝ</v>
          </cell>
          <cell r="F22">
            <v>0</v>
          </cell>
        </row>
        <row r="23">
          <cell r="A23">
            <v>21</v>
          </cell>
          <cell r="C23">
            <v>37647</v>
          </cell>
          <cell r="D23" t="str">
            <v>ΠΑΠΑΓΕΩΡΓΙΟΥ ΕΛΕΑΝΝΑ</v>
          </cell>
          <cell r="E23" t="str">
            <v>ΑΟ ΑΤΛΑΝΤΙΣ</v>
          </cell>
          <cell r="F23">
            <v>0</v>
          </cell>
        </row>
        <row r="24">
          <cell r="A24">
            <v>22</v>
          </cell>
          <cell r="D24"/>
        </row>
        <row r="25">
          <cell r="A25">
            <v>23</v>
          </cell>
          <cell r="D25"/>
        </row>
        <row r="26">
          <cell r="A26">
            <v>24</v>
          </cell>
          <cell r="D26"/>
        </row>
        <row r="27">
          <cell r="A27">
            <v>25</v>
          </cell>
          <cell r="D27"/>
        </row>
        <row r="28">
          <cell r="A28">
            <v>26</v>
          </cell>
          <cell r="D28"/>
        </row>
        <row r="29">
          <cell r="A29">
            <v>27</v>
          </cell>
          <cell r="D29"/>
        </row>
        <row r="30">
          <cell r="A30">
            <v>28</v>
          </cell>
          <cell r="D30"/>
        </row>
        <row r="31">
          <cell r="A31">
            <v>29</v>
          </cell>
          <cell r="D31"/>
        </row>
        <row r="32">
          <cell r="A32">
            <v>30</v>
          </cell>
          <cell r="D32"/>
        </row>
        <row r="33">
          <cell r="A33">
            <v>31</v>
          </cell>
          <cell r="D33"/>
        </row>
        <row r="34">
          <cell r="A34">
            <v>32</v>
          </cell>
          <cell r="D34"/>
        </row>
      </sheetData>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rawPrep"/>
      <sheetName val="md"/>
      <sheetName val="PrgPrep"/>
      <sheetName val="Day1"/>
      <sheetName val="notes"/>
      <sheetName val="tmp"/>
    </sheetNames>
    <definedNames>
      <definedName name="Sheet2pdf"/>
    </definedNames>
    <sheetDataSet>
      <sheetData sheetId="0">
        <row r="2">
          <cell r="E2">
            <v>4</v>
          </cell>
        </row>
        <row r="3">
          <cell r="B3" t="str">
            <v>Η ΕΝΩΣΗ</v>
          </cell>
          <cell r="E3">
            <v>3</v>
          </cell>
        </row>
        <row r="4">
          <cell r="B4" t="str">
            <v>ΟΡΕΝ MASTER</v>
          </cell>
        </row>
        <row r="6">
          <cell r="B6" t="str">
            <v>ΑΟΑ ΦΙΛΟΘΕΗΣ</v>
          </cell>
        </row>
        <row r="7">
          <cell r="B7" t="str">
            <v>md</v>
          </cell>
        </row>
        <row r="8">
          <cell r="B8" t="str">
            <v>17</v>
          </cell>
        </row>
        <row r="9">
          <cell r="B9" t="str">
            <v>22 Οκτ</v>
          </cell>
        </row>
        <row r="10">
          <cell r="B10" t="str">
            <v>Τ.Ταμπόση</v>
          </cell>
        </row>
        <row r="12">
          <cell r="G12">
            <v>0</v>
          </cell>
          <cell r="H12">
            <v>0</v>
          </cell>
        </row>
        <row r="13">
          <cell r="G13">
            <v>1</v>
          </cell>
          <cell r="H13">
            <v>1</v>
          </cell>
        </row>
        <row r="14">
          <cell r="G14">
            <v>2</v>
          </cell>
          <cell r="H14">
            <v>2</v>
          </cell>
        </row>
        <row r="15">
          <cell r="G15">
            <v>3</v>
          </cell>
          <cell r="H15">
            <v>3</v>
          </cell>
        </row>
        <row r="16">
          <cell r="G16">
            <v>4</v>
          </cell>
          <cell r="H16">
            <v>4</v>
          </cell>
        </row>
        <row r="17">
          <cell r="G17">
            <v>5</v>
          </cell>
          <cell r="H17">
            <v>5</v>
          </cell>
        </row>
        <row r="18">
          <cell r="B18">
            <v>1</v>
          </cell>
          <cell r="G18">
            <v>6</v>
          </cell>
          <cell r="H18">
            <v>9</v>
          </cell>
        </row>
        <row r="19">
          <cell r="B19">
            <v>4</v>
          </cell>
          <cell r="G19">
            <v>7</v>
          </cell>
          <cell r="H19">
            <v>8</v>
          </cell>
        </row>
        <row r="20">
          <cell r="G20">
            <v>8</v>
          </cell>
          <cell r="H20">
            <v>6</v>
          </cell>
        </row>
        <row r="21">
          <cell r="G21">
            <v>9</v>
          </cell>
          <cell r="H21">
            <v>11</v>
          </cell>
        </row>
        <row r="22">
          <cell r="G22">
            <v>10</v>
          </cell>
          <cell r="H22">
            <v>13</v>
          </cell>
        </row>
        <row r="23">
          <cell r="G23">
            <v>11</v>
          </cell>
          <cell r="H23">
            <v>7</v>
          </cell>
        </row>
        <row r="24">
          <cell r="B24" t="str">
            <v>ok</v>
          </cell>
          <cell r="G24">
            <v>12</v>
          </cell>
          <cell r="H24">
            <v>14</v>
          </cell>
        </row>
        <row r="25">
          <cell r="G25">
            <v>13</v>
          </cell>
          <cell r="H25">
            <v>15</v>
          </cell>
        </row>
        <row r="26">
          <cell r="G26">
            <v>14</v>
          </cell>
          <cell r="H26">
            <v>12</v>
          </cell>
        </row>
        <row r="27">
          <cell r="G27">
            <v>15</v>
          </cell>
          <cell r="H27">
            <v>10</v>
          </cell>
        </row>
      </sheetData>
      <sheetData sheetId="1">
        <row r="3">
          <cell r="A3">
            <v>1</v>
          </cell>
          <cell r="B3">
            <v>15</v>
          </cell>
          <cell r="C3">
            <v>21744</v>
          </cell>
          <cell r="D3" t="str">
            <v>ΚΑΛΟΒΕΛΩΝΗΣ ΜΑΡΚΟΣ</v>
          </cell>
          <cell r="E3" t="str">
            <v>ΟΑ ΑΘΗΝΩΝ</v>
          </cell>
          <cell r="G3">
            <v>38169</v>
          </cell>
          <cell r="H3" t="str">
            <v>ΚΟΥΝΕΛΗΣ ΚΩΝΣΤΑΝΤΙΝΟΣ</v>
          </cell>
          <cell r="I3" t="str">
            <v>ΠΕΥΚΗ Γ ΚΑΛΟΒΕΛΩΝΗΣ</v>
          </cell>
        </row>
        <row r="4">
          <cell r="A4">
            <v>2</v>
          </cell>
          <cell r="B4">
            <v>12</v>
          </cell>
          <cell r="C4">
            <v>16369</v>
          </cell>
          <cell r="D4" t="str">
            <v>ΜΠΙΣΜΠΙΚΟΣ ΠΙΕΡ</v>
          </cell>
          <cell r="E4" t="str">
            <v>ΟΑ ΑΓ ΠΑΡΑΣΚΕΥΗΣ</v>
          </cell>
          <cell r="G4">
            <v>19851</v>
          </cell>
          <cell r="H4" t="str">
            <v>ΜΠΙΣΜΠΙΚΟΣ ΝΙΚΟΛΑΣ</v>
          </cell>
          <cell r="I4" t="str">
            <v>ΟΑ ΑΓ ΠΑΡΑΣΚΕΥΗΣ</v>
          </cell>
        </row>
        <row r="5">
          <cell r="A5">
            <v>3</v>
          </cell>
          <cell r="B5">
            <v>3</v>
          </cell>
          <cell r="C5">
            <v>37315</v>
          </cell>
          <cell r="D5" t="str">
            <v>ΜΑΝΩΛΑΣ ΝΙΚΟΛΑΟΣ</v>
          </cell>
          <cell r="E5" t="str">
            <v>ΑΟ ΠΕΥΚΗΣ TIE BREAK</v>
          </cell>
          <cell r="G5">
            <v>10888</v>
          </cell>
          <cell r="H5" t="str">
            <v>ΜΟΥΡΑΤΟΓΛΟΥ ΑΡΙΣΤΟΤΕΛΗΣ</v>
          </cell>
          <cell r="I5" t="str">
            <v>ΑΟΑ ΦΙΛΟΘΕΗΣ</v>
          </cell>
        </row>
        <row r="6">
          <cell r="A6">
            <v>4</v>
          </cell>
          <cell r="B6">
            <v>3</v>
          </cell>
          <cell r="C6">
            <v>18875</v>
          </cell>
          <cell r="D6" t="str">
            <v>ΔΗΜΑΣ ΑΛΕΞΙΟΣ</v>
          </cell>
          <cell r="E6" t="str">
            <v>ΑΟΑ ΦΙΛΟΘΕΗΣ</v>
          </cell>
          <cell r="G6">
            <v>17656</v>
          </cell>
          <cell r="H6" t="str">
            <v>ΑΝΔΡΟΥΤΣΕΛΗΣ ΙΩΑΝΝΗΣ</v>
          </cell>
          <cell r="I6" t="str">
            <v>ΑΟΑ ΠΑΤΡΩΝ</v>
          </cell>
        </row>
        <row r="7">
          <cell r="A7">
            <v>5</v>
          </cell>
          <cell r="C7">
            <v>13330</v>
          </cell>
          <cell r="D7" t="str">
            <v>ΠΕΡΔΙΚΟΓΙΑΝΝΗΣ ΣΤΥΛΙΑΝΟΣ</v>
          </cell>
          <cell r="E7" t="str">
            <v>ΗΡΑΚΛΕΙΟ ΟΑΑ</v>
          </cell>
          <cell r="G7">
            <v>15522</v>
          </cell>
          <cell r="H7" t="str">
            <v>ΓΙΑΝΝΑΚΑΚΗΣ ΗΛΙΑΣ</v>
          </cell>
          <cell r="I7" t="str">
            <v>ΟΑ ΑΘΗΝΩΝ</v>
          </cell>
        </row>
        <row r="8">
          <cell r="A8">
            <v>6</v>
          </cell>
          <cell r="C8">
            <v>32761</v>
          </cell>
          <cell r="D8" t="str">
            <v>ΜΙΝΤΑΣ ΝΙΚΟΛΑΟΣ</v>
          </cell>
          <cell r="E8" t="str">
            <v>ΠΕΥΚΗ Γ ΚΑΛΟΒΕΛΩΝΗΣ</v>
          </cell>
          <cell r="G8">
            <v>29586</v>
          </cell>
          <cell r="H8" t="str">
            <v>ΣΙΟΥΛΗΣ ΒΑΣΙΛΗΣ</v>
          </cell>
          <cell r="I8" t="str">
            <v>ΑΟ ΜΕΓΑΣ ΑΛΕΞΑΝΔΡΟΣ</v>
          </cell>
        </row>
        <row r="9">
          <cell r="A9">
            <v>7</v>
          </cell>
          <cell r="C9">
            <v>10445</v>
          </cell>
          <cell r="D9" t="str">
            <v>ΜΑΡΚΑΚΗΣ ΜΙΧΑΗΛ</v>
          </cell>
          <cell r="E9" t="str">
            <v>ΗΡΑΚΛΕΙΟ ΟΑΑ</v>
          </cell>
          <cell r="G9">
            <v>27383</v>
          </cell>
          <cell r="H9" t="str">
            <v>ΧΑΤΖΗΣ ΣΤΕΦΑΝΟΣ-ΡΑΦΑΗΛ</v>
          </cell>
          <cell r="I9" t="str">
            <v>ΑΕ ΠΟΡΤΟ ΡΑΦΤΗ</v>
          </cell>
        </row>
        <row r="10">
          <cell r="A10">
            <v>8</v>
          </cell>
          <cell r="C10">
            <v>7243</v>
          </cell>
          <cell r="D10" t="str">
            <v>ΠΑΠΑΧΡΙΣΤΟΠΟΥΛΟΣ ΦΙΛΙΠΠΑΣ</v>
          </cell>
          <cell r="E10" t="str">
            <v>ΑΟΑ ΦΙΛΟΘΕΗΣ</v>
          </cell>
          <cell r="G10">
            <v>16350</v>
          </cell>
          <cell r="H10" t="str">
            <v>ΝΤΙΡΖΟΥ ΑΝΤΡΕΪ</v>
          </cell>
          <cell r="I10" t="str">
            <v>ΣΦΑ ΜΕΛΙΣΣΙΩΝ Ο ΦΟΙΒΟΣ</v>
          </cell>
        </row>
        <row r="11">
          <cell r="A11">
            <v>9</v>
          </cell>
          <cell r="C11">
            <v>15180</v>
          </cell>
          <cell r="D11" t="str">
            <v>ΚΑΡΑΓΙΑΝΝΙΔΗΣ ΘΕΟΧΑΡΗΣ</v>
          </cell>
          <cell r="E11" t="str">
            <v>ΑΟΑ ΑΤΤΙΚΟΣ ΗΛΙΟΣ</v>
          </cell>
          <cell r="G11">
            <v>10614</v>
          </cell>
          <cell r="H11" t="str">
            <v>ΚΟΡΜΑΛΗΣ ΙΩΑΝΝΗΣ</v>
          </cell>
          <cell r="I11" t="str">
            <v>ΓΟ ΠΕΡΙΣΤΕΡΙΟΥ ΠΑΛΑΣΚΑΣ</v>
          </cell>
        </row>
        <row r="12">
          <cell r="A12">
            <v>10</v>
          </cell>
          <cell r="C12">
            <v>15739</v>
          </cell>
          <cell r="D12" t="str">
            <v>ΚΑΚΡΙΔΩΝΗΣ ΦΩΤΙΟΣ</v>
          </cell>
          <cell r="E12" t="str">
            <v>ΗΡΑΚΛΕΙΟ ΟΑΑ</v>
          </cell>
          <cell r="G12">
            <v>32212</v>
          </cell>
          <cell r="H12" t="str">
            <v>ΡΑΠΤΗΣ ΚΩΝΣΤΑΝΤΙΝΟΣ</v>
          </cell>
          <cell r="I12" t="str">
            <v>ΣΑ ΡΑΦΗΝΑΣ</v>
          </cell>
        </row>
        <row r="13">
          <cell r="A13">
            <v>11</v>
          </cell>
          <cell r="C13">
            <v>32605</v>
          </cell>
          <cell r="D13" t="str">
            <v>ΚΥΠΡΙΩΤΗΣ ΕΥΑΓΓΕΛΟΣ</v>
          </cell>
          <cell r="E13" t="str">
            <v>ΟΑ ΑΘΗΝΩΝ</v>
          </cell>
          <cell r="G13">
            <v>31285</v>
          </cell>
          <cell r="H13" t="str">
            <v>ΚΩΣΤΟΥΡΟΣ ΔΗΜΗΤΡΙΟΣ</v>
          </cell>
          <cell r="I13" t="str">
            <v>ΠΕΥΚΗ Γ ΚΑΛΟΒΕΛΩΝΗΣ</v>
          </cell>
        </row>
        <row r="14">
          <cell r="A14">
            <v>12</v>
          </cell>
          <cell r="C14">
            <v>27690</v>
          </cell>
          <cell r="D14" t="str">
            <v>ΣΠΥΡΟΠΟΥΛΟΣ ΑΘΑΝΑΣΙΟΣ</v>
          </cell>
          <cell r="E14" t="str">
            <v>ΑΟΑ ΦΙΛΟΘΕΗΣ</v>
          </cell>
          <cell r="G14">
            <v>30989</v>
          </cell>
          <cell r="H14" t="str">
            <v>ΓΚΙΘΚΟΠΟΥΛΟΣ ΑΡΙΣΤΟΤΕΛΗΣ</v>
          </cell>
          <cell r="I14" t="str">
            <v>ΑΟ ΠΕΥΚΗΣ TIE BREAK</v>
          </cell>
        </row>
        <row r="15">
          <cell r="A15">
            <v>13</v>
          </cell>
          <cell r="C15">
            <v>4133</v>
          </cell>
          <cell r="D15" t="str">
            <v>ΛΙΟΛΗΣ ΓΕΩΡΓΙΟΣ</v>
          </cell>
          <cell r="E15" t="str">
            <v>ΑΟΑ ΑΡΓΥΡΟΥΠΟΛΗΣ</v>
          </cell>
          <cell r="G15">
            <v>4132</v>
          </cell>
          <cell r="H15" t="str">
            <v>ΛΙΟΛΗΣ ΣΤΕΦΑΝΟΣ</v>
          </cell>
          <cell r="I15" t="str">
            <v>ΑΟΑ ΑΡΓΥΡΟΥΠΟΛΗΣ</v>
          </cell>
        </row>
        <row r="16">
          <cell r="A16">
            <v>14</v>
          </cell>
          <cell r="C16">
            <v>10902</v>
          </cell>
          <cell r="D16" t="str">
            <v>ΧΑΜΑΜΗΣ ΝΙΚΟΛΑΟΣ</v>
          </cell>
          <cell r="E16" t="str">
            <v>ΑΟ ΑΤΛΑΝΤΙΣ</v>
          </cell>
          <cell r="G16">
            <v>13568</v>
          </cell>
          <cell r="H16" t="str">
            <v>ΧΑΜΑΜΗΣ ΓΕΩΡΓΙΟΣ</v>
          </cell>
          <cell r="I16" t="str">
            <v>ΑΚΑ ΜΑΡΑΘΩΝΑ</v>
          </cell>
        </row>
        <row r="17">
          <cell r="A17">
            <v>15</v>
          </cell>
          <cell r="C17">
            <v>13047</v>
          </cell>
          <cell r="D17" t="str">
            <v>ΤΣΙΑΝΟΣ ΚΩΝΣΤΑΝΤΙΝΟΣ</v>
          </cell>
          <cell r="E17" t="str">
            <v>ΑΟΑ ΠΑΠΑΓΟΥ</v>
          </cell>
          <cell r="G17">
            <v>17503</v>
          </cell>
          <cell r="H17" t="str">
            <v>ΦΩΚΑΣ ΓΕΩΡΓΙΟΣ</v>
          </cell>
          <cell r="I17" t="str">
            <v>ΟΑ ΠΕΤΡΟΥΠΟΛΗΣ</v>
          </cell>
        </row>
        <row r="18">
          <cell r="A18">
            <v>16</v>
          </cell>
        </row>
      </sheetData>
      <sheetData sheetId="2"/>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rawPrep"/>
      <sheetName val="xd"/>
      <sheetName val="PrgPrep"/>
      <sheetName val="Day1"/>
      <sheetName val="notes"/>
      <sheetName val="tmp"/>
      <sheetName val="DblDraw08"/>
    </sheetNames>
    <definedNames>
      <definedName name="Sheet2pdf"/>
    </definedNames>
    <sheetDataSet>
      <sheetData sheetId="0">
        <row r="3">
          <cell r="B3" t="str">
            <v>Η ΕΝΩΣΗ</v>
          </cell>
        </row>
        <row r="4">
          <cell r="B4" t="str">
            <v>ΟΡΕΝ MASTER</v>
          </cell>
        </row>
        <row r="6">
          <cell r="B6" t="str">
            <v>ΑΟΑ ΦΙΛΟΘΕΗΣ</v>
          </cell>
        </row>
        <row r="7">
          <cell r="B7" t="str">
            <v>xd</v>
          </cell>
        </row>
        <row r="8">
          <cell r="B8" t="str">
            <v>17</v>
          </cell>
        </row>
        <row r="9">
          <cell r="B9" t="str">
            <v>22 Οκτ</v>
          </cell>
        </row>
        <row r="10">
          <cell r="B10" t="str">
            <v>Τ.Ταμπόση</v>
          </cell>
        </row>
        <row r="12">
          <cell r="G12">
            <v>0</v>
          </cell>
          <cell r="H12">
            <v>0</v>
          </cell>
        </row>
        <row r="13">
          <cell r="G13">
            <v>1</v>
          </cell>
          <cell r="H13">
            <v>1</v>
          </cell>
        </row>
        <row r="14">
          <cell r="G14">
            <v>2</v>
          </cell>
          <cell r="H14">
            <v>2</v>
          </cell>
        </row>
        <row r="15">
          <cell r="G15">
            <v>3</v>
          </cell>
          <cell r="H15">
            <v>5</v>
          </cell>
        </row>
        <row r="16">
          <cell r="G16">
            <v>4</v>
          </cell>
          <cell r="H16">
            <v>7</v>
          </cell>
        </row>
        <row r="17">
          <cell r="G17">
            <v>5</v>
          </cell>
          <cell r="H17">
            <v>3</v>
          </cell>
        </row>
        <row r="18">
          <cell r="B18">
            <v>1</v>
          </cell>
          <cell r="G18">
            <v>6</v>
          </cell>
          <cell r="H18">
            <v>4</v>
          </cell>
        </row>
        <row r="19">
          <cell r="B19">
            <v>2</v>
          </cell>
          <cell r="G19">
            <v>7</v>
          </cell>
          <cell r="H19">
            <v>6</v>
          </cell>
        </row>
        <row r="24">
          <cell r="B24" t="str">
            <v>ok</v>
          </cell>
        </row>
      </sheetData>
      <sheetData sheetId="1">
        <row r="3">
          <cell r="A3">
            <v>1</v>
          </cell>
          <cell r="B3">
            <v>18</v>
          </cell>
          <cell r="C3">
            <v>26107</v>
          </cell>
          <cell r="D3" t="str">
            <v>ΑΝΤΩΝΑΚΗ ΕΜΜΑΝΟΥΕΛΑ</v>
          </cell>
          <cell r="E3" t="str">
            <v>ΑΟΑ ΑΤΤΙΚΟΣ ΗΛΙΟΣ</v>
          </cell>
          <cell r="G3">
            <v>35647</v>
          </cell>
          <cell r="H3" t="str">
            <v>ΑΓΓΟΥΡΗΣ ΚΩΝΣΤΑΝΤΙΝΟΣ</v>
          </cell>
          <cell r="I3" t="str">
            <v>ΑΟΑ ΑΤΤΙΚΟΣ ΗΛΙΟΣ</v>
          </cell>
        </row>
        <row r="4">
          <cell r="A4">
            <v>2</v>
          </cell>
          <cell r="B4">
            <v>6</v>
          </cell>
          <cell r="C4">
            <v>21937</v>
          </cell>
          <cell r="D4" t="str">
            <v>ΚΑΪΡΗ ΑΓΓΕΛΙΚΗ</v>
          </cell>
          <cell r="E4" t="str">
            <v>ΟΑ ΑΘΗΝΩΝ</v>
          </cell>
          <cell r="G4">
            <v>15313</v>
          </cell>
          <cell r="H4" t="str">
            <v>ΓΕΩΡΓΙΑΔΗΣ ΜΑΡΙΟΣ</v>
          </cell>
          <cell r="I4" t="str">
            <v>ΟΑ ΑΘΗΝΩΝ</v>
          </cell>
        </row>
        <row r="5">
          <cell r="A5">
            <v>3</v>
          </cell>
          <cell r="B5">
            <v>0.1</v>
          </cell>
          <cell r="C5">
            <v>35900</v>
          </cell>
          <cell r="D5" t="str">
            <v>ΜΑΚΑΝΤΑΣΗ ΜΑΡΘΑ</v>
          </cell>
          <cell r="E5" t="str">
            <v>ΠΕΥΚΗ Γ ΚΑΛΟΒΕΛΩΝΗΣ</v>
          </cell>
          <cell r="G5">
            <v>16369</v>
          </cell>
          <cell r="H5" t="str">
            <v>ΜΠΙΣΜΠΙΚΟΣ ΠΙΕΡ</v>
          </cell>
          <cell r="I5" t="str">
            <v>ΟΑ ΑΓ ΠΑΡΑΣΚΕΥΗΣ</v>
          </cell>
        </row>
        <row r="6">
          <cell r="A6">
            <v>4</v>
          </cell>
          <cell r="B6">
            <v>0.1</v>
          </cell>
          <cell r="C6">
            <v>33920</v>
          </cell>
          <cell r="D6" t="str">
            <v>ΠΛΑΤΣΙΩΤΑ ΡΑΦΑΕΛΑ</v>
          </cell>
          <cell r="E6" t="str">
            <v>ΑΟΑ ΑΤΤΙΚΟΣ ΗΛΙΟΣ</v>
          </cell>
          <cell r="G6">
            <v>37315</v>
          </cell>
          <cell r="H6" t="str">
            <v>ΜΑΝΩΛΑΣ ΝΙΚΟΛΑΟΣ</v>
          </cell>
          <cell r="I6" t="str">
            <v>ΑΟ ΠΕΥΚΗΣ TIE BREAK</v>
          </cell>
        </row>
        <row r="7">
          <cell r="A7">
            <v>5</v>
          </cell>
          <cell r="C7">
            <v>35538</v>
          </cell>
          <cell r="D7" t="str">
            <v>ΒΑΣΙΛΕΙΑΔΗ ΜΑΡΙΑ</v>
          </cell>
          <cell r="E7" t="str">
            <v>ΑΟΑ ΦΙΛΟΘΕΗΣ</v>
          </cell>
          <cell r="G7">
            <v>16350</v>
          </cell>
          <cell r="H7" t="str">
            <v>ΝΤΙΡΖΟΥ ΑΝΤΡΕΪ</v>
          </cell>
          <cell r="I7" t="str">
            <v>ΣΦΑ ΜΕΛΙΣΣΙΩΝ Ο ΦΟΙΒΟΣ</v>
          </cell>
        </row>
        <row r="8">
          <cell r="A8">
            <v>6</v>
          </cell>
          <cell r="C8">
            <v>6255</v>
          </cell>
          <cell r="D8" t="str">
            <v>ΜΑΡΓΑΡΙΤΗ ΣΥΛΒΙΑ</v>
          </cell>
          <cell r="E8" t="str">
            <v>ΟΑ ΓΟΥΔΗ</v>
          </cell>
          <cell r="G8">
            <v>15180</v>
          </cell>
          <cell r="H8" t="str">
            <v>ΚΑΡΑΓΙΑΝΝΙΔΗΣ ΘΕΟΧΑΡΗΣ</v>
          </cell>
          <cell r="I8" t="str">
            <v>ΑΟΑ ΑΤΤΙΚΟΣ ΗΛΙΟΣ</v>
          </cell>
        </row>
        <row r="9">
          <cell r="A9">
            <v>7</v>
          </cell>
          <cell r="C9">
            <v>5351</v>
          </cell>
          <cell r="D9" t="str">
            <v>ΠΑΝΑΓΙΩΤΙΔΟΥ ΠΑΡΑΣΚΕΥΗ</v>
          </cell>
          <cell r="E9" t="str">
            <v>ΑΜΕΣ Ν ΕΡΥΘΡΑΙΑΣ</v>
          </cell>
          <cell r="G9">
            <v>7243</v>
          </cell>
          <cell r="H9" t="str">
            <v>ΠΑΠΑΧΡΙΣΤΟΠΟΥΛΟΣ ΦΙΛΙΠΠΑΣ</v>
          </cell>
          <cell r="I9" t="str">
            <v>ΑΟΑ ΦΙΛΟΘΕΗΣ</v>
          </cell>
        </row>
        <row r="10">
          <cell r="A10">
            <v>8</v>
          </cell>
        </row>
      </sheetData>
      <sheetData sheetId="2"/>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05A5A-9ACE-4397-9DB7-F0E7AF689F20}">
  <sheetPr codeName="Sheet5">
    <tabColor rgb="FFFFFF00"/>
    <pageSetUpPr fitToPage="1"/>
  </sheetPr>
  <dimension ref="A1:P105"/>
  <sheetViews>
    <sheetView showGridLines="0" showZeros="0" tabSelected="1" zoomScaleNormal="100" workbookViewId="0">
      <pane ySplit="1" topLeftCell="A56" activePane="bottomLeft" state="frozen"/>
      <selection pane="bottomLeft" activeCell="G74" sqref="G74"/>
    </sheetView>
  </sheetViews>
  <sheetFormatPr defaultColWidth="8.88671875" defaultRowHeight="10.199999999999999" x14ac:dyDescent="0.25"/>
  <cols>
    <col min="1" max="1" width="2.44140625" style="131" bestFit="1" customWidth="1"/>
    <col min="2" max="2" width="2.6640625" style="131" hidden="1" customWidth="1"/>
    <col min="3" max="3" width="5.88671875" style="131" hidden="1" customWidth="1"/>
    <col min="4" max="4" width="3.44140625" style="132" bestFit="1" customWidth="1"/>
    <col min="5" max="5" width="3.109375" style="131" bestFit="1" customWidth="1"/>
    <col min="6" max="6" width="5.6640625" style="133" customWidth="1"/>
    <col min="7" max="7" width="33.109375" style="125" bestFit="1" customWidth="1"/>
    <col min="8" max="8" width="13.88671875" style="187" hidden="1" customWidth="1"/>
    <col min="9" max="9" width="22.6640625" style="125" bestFit="1" customWidth="1"/>
    <col min="10" max="10" width="1.44140625" style="188" bestFit="1" customWidth="1"/>
    <col min="11" max="11" width="15.77734375" style="125" bestFit="1" customWidth="1"/>
    <col min="12" max="12" width="1.44140625" style="144" bestFit="1" customWidth="1"/>
    <col min="13" max="13" width="10.33203125" style="125" bestFit="1" customWidth="1"/>
    <col min="14" max="14" width="1.44140625" style="144" bestFit="1" customWidth="1"/>
    <col min="15" max="15" width="10.33203125" style="125" bestFit="1" customWidth="1"/>
    <col min="16" max="16" width="8.88671875" style="36"/>
    <col min="17" max="16384" width="8.88671875" style="125"/>
  </cols>
  <sheetData>
    <row r="1" spans="1:15" ht="21" x14ac:dyDescent="0.25">
      <c r="A1" s="304" t="str">
        <f>[1]Setup!B3&amp;", "&amp;[1]Setup!B4&amp;", "&amp;[1]Setup!B6&amp;", "&amp;[1]Setup!B8&amp;"-"&amp;[1]Setup!B9</f>
        <v>Η ΕΝΩΣΗ, ΟΡΕΝ MASTER, ΑΟΑ ΦΙΛΟΘΕΗΣ, 17-22 Οκτ</v>
      </c>
      <c r="B1" s="304"/>
      <c r="C1" s="304"/>
      <c r="D1" s="304"/>
      <c r="E1" s="304"/>
      <c r="F1" s="304"/>
      <c r="G1" s="304"/>
      <c r="H1" s="304"/>
      <c r="I1" s="304"/>
      <c r="J1" s="304"/>
      <c r="K1" s="304"/>
      <c r="L1" s="304"/>
      <c r="N1" s="126"/>
      <c r="O1" s="127" t="str">
        <f>[1]Setup!$B$7</f>
        <v>Men q</v>
      </c>
    </row>
    <row r="2" spans="1:15" x14ac:dyDescent="0.25">
      <c r="A2" s="128"/>
      <c r="B2" s="129">
        <f>[1]Setup!$B$18</f>
        <v>25</v>
      </c>
      <c r="C2" s="129"/>
      <c r="D2" s="130"/>
      <c r="E2" s="129"/>
      <c r="F2" s="129"/>
      <c r="G2" s="129"/>
      <c r="H2" s="129"/>
      <c r="I2" s="129"/>
      <c r="J2" s="129"/>
      <c r="K2" s="129"/>
      <c r="L2" s="129"/>
      <c r="M2" s="129"/>
      <c r="N2" s="129"/>
      <c r="O2" s="129"/>
    </row>
    <row r="3" spans="1:15" x14ac:dyDescent="0.25">
      <c r="G3" s="305">
        <v>64</v>
      </c>
      <c r="H3" s="305"/>
      <c r="I3" s="305"/>
      <c r="J3" s="134"/>
      <c r="K3" s="135">
        <v>32</v>
      </c>
      <c r="L3" s="136"/>
      <c r="M3" s="135">
        <v>16</v>
      </c>
      <c r="N3" s="136"/>
      <c r="O3" s="135">
        <v>8</v>
      </c>
    </row>
    <row r="4" spans="1:15" x14ac:dyDescent="0.25">
      <c r="A4" s="137" t="s">
        <v>1</v>
      </c>
      <c r="B4" s="138" t="s">
        <v>13</v>
      </c>
      <c r="C4" s="139" t="s">
        <v>2</v>
      </c>
      <c r="D4" s="140" t="s">
        <v>5</v>
      </c>
      <c r="E4" s="137" t="s">
        <v>14</v>
      </c>
      <c r="F4" s="137" t="s">
        <v>6</v>
      </c>
      <c r="G4" s="141" t="s">
        <v>7</v>
      </c>
      <c r="H4" s="142" t="s">
        <v>8</v>
      </c>
      <c r="I4" s="141" t="s">
        <v>9</v>
      </c>
      <c r="J4" s="143"/>
    </row>
    <row r="5" spans="1:15" ht="12" x14ac:dyDescent="0.25">
      <c r="A5" s="145">
        <v>1</v>
      </c>
      <c r="B5" s="146">
        <v>1</v>
      </c>
      <c r="C5" s="147"/>
      <c r="D5" s="148">
        <f>VLOOKUP($B5,[1]Setup!$M$4:$N$67,2,FALSE)</f>
        <v>1</v>
      </c>
      <c r="E5" s="148">
        <f>IF(NOT($D5=0),VLOOKUP($D5,[1]DrawPrep!$A$3:$F$66,6,FALSE),0)</f>
        <v>2</v>
      </c>
      <c r="F5" s="148">
        <f>IF([1]Setup!$B$24="#",0,IF($D5&gt;0,VLOOKUP($D5,[1]DrawPrep!$A$3:$F$66,3,FALSE),0))</f>
        <v>17604</v>
      </c>
      <c r="G5" s="149" t="str">
        <f>IF($F5&gt;0,VLOOKUP($F5,[1]DrawPrep!$C$3:$F$66,2,FALSE),"bye")</f>
        <v>ΒΑΡΦΗΣ ΙΑΣΩΝ</v>
      </c>
      <c r="H5" s="150" t="str">
        <f>IF(NOT(F5&gt;0),"", IF(ISERROR(FIND("-",G5)), LEFT(G5,FIND(" ",G5)-1), IF(FIND("-",G5)&gt;FIND(" ",G5),LEFT(G5,FIND(" ",G5)-1), LEFT(G5,FIND("-",G5)-1) )))</f>
        <v>ΒΑΡΦΗΣ</v>
      </c>
      <c r="I5" s="151" t="str">
        <f>IF($F5&gt;0,VLOOKUP($F5,[1]DrawPrep!$C$3:$F$66,3,FALSE),"")</f>
        <v>ΟΑ ΓΟΥΔΗ</v>
      </c>
      <c r="J5" s="66">
        <v>1</v>
      </c>
      <c r="K5" s="49" t="str">
        <f>UPPER(IF($A$2="R",IF(OR(J5=1,J5="a"),F5,IF(OR(J5=2,J5="b"),F6,"")),IF(OR(J5=1,J5="1"),H5,IF(OR(J5=2,J5="b"),H6,""))))</f>
        <v>ΒΑΡΦΗΣ</v>
      </c>
      <c r="L5" s="152"/>
      <c r="M5" s="36"/>
      <c r="N5" s="152"/>
      <c r="O5" s="36"/>
    </row>
    <row r="6" spans="1:15" ht="12" x14ac:dyDescent="0.25">
      <c r="A6" s="153">
        <v>2</v>
      </c>
      <c r="B6" s="154">
        <v>64</v>
      </c>
      <c r="C6" s="155">
        <v>1</v>
      </c>
      <c r="D6" s="153">
        <f>VLOOKUP($B6,[1]Setup!$M$4:$N$67,2,FALSE)</f>
        <v>0</v>
      </c>
      <c r="E6" s="153">
        <f>IF(NOT($D6=0),VLOOKUP($D6,[1]DrawPrep!$A$3:$F$66,6,FALSE),0)</f>
        <v>0</v>
      </c>
      <c r="F6" s="153">
        <f>IF([1]Setup!$B$24="#",0,IF(NOT($D6=0),VLOOKUP($D6,[1]DrawPrep!$A$3:$F$66,3,FALSE),0))</f>
        <v>0</v>
      </c>
      <c r="G6" s="156" t="str">
        <f>IF($F6&gt;0,VLOOKUP($F6,[1]DrawPrep!$C$3:$F$66,2,FALSE),"bye")</f>
        <v>bye</v>
      </c>
      <c r="H6" s="157" t="str">
        <f t="shared" ref="H6:H68" si="0">IF(NOT(F6&gt;0),"", IF(ISERROR(FIND("-",G6)), LEFT(G6,FIND(" ",G6)-1), IF(FIND("-",G6)&gt;FIND(" ",G6),LEFT(G6,FIND(" ",G6)-1), LEFT(G6,FIND("-",G6)-1) )))</f>
        <v/>
      </c>
      <c r="I6" s="158" t="str">
        <f>IF($F6&gt;0,VLOOKUP($F6,[1]DrawPrep!$C$3:$F$66,3,FALSE),"")</f>
        <v/>
      </c>
      <c r="J6" s="81"/>
      <c r="K6" s="58"/>
      <c r="L6" s="66"/>
      <c r="M6" s="49" t="str">
        <f>UPPER(IF($A$2="R",IF(OR(L6=1,L6="a"),K5,IF(OR(L6=2,L6="b"),K7,"")),IF(OR(L6=1,L6="a"),K5,IF(OR(L6=2,L6="b"),K7,""))))</f>
        <v/>
      </c>
      <c r="N6" s="6"/>
      <c r="O6" s="36" t="str">
        <f>UPPER(IF($A$2="R",IF(OR(N6=1,N6="a"),M5,IF(OR(N6=2,N6="b"),M7,"")),IF(OR(N6=1,N6="a"),M5,IF(OR(N6=2,N6="b"),M7,""))))</f>
        <v/>
      </c>
    </row>
    <row r="7" spans="1:15" ht="11.4" x14ac:dyDescent="0.25">
      <c r="A7" s="145">
        <v>3</v>
      </c>
      <c r="B7" s="154">
        <v>48</v>
      </c>
      <c r="C7" s="159">
        <v>17</v>
      </c>
      <c r="D7" s="145">
        <v>63</v>
      </c>
      <c r="E7" s="145">
        <f>IF(NOT($D7=0),VLOOKUP($D7,[1]DrawPrep!$A$3:$F$66,6,FALSE),0)</f>
        <v>0</v>
      </c>
      <c r="F7" s="145">
        <v>6644</v>
      </c>
      <c r="G7" s="160" t="s">
        <v>25</v>
      </c>
      <c r="H7" s="161" t="str">
        <f t="shared" si="0"/>
        <v>ΤΑΧΤΣΙΔΗΣ</v>
      </c>
      <c r="I7" s="162" t="s">
        <v>26</v>
      </c>
      <c r="J7" s="66"/>
      <c r="K7" s="49" t="str">
        <f>UPPER(IF($A$2="R",IF(OR(J7=1,J7="a"),F7,IF(OR(J7=2,J7="b"),F8,"")),IF(OR(J7=1,J7="a"),H7,IF(OR(J7=2,J7="b"),H8,""))))</f>
        <v/>
      </c>
      <c r="L7" s="81"/>
      <c r="M7" s="58"/>
      <c r="N7" s="6"/>
      <c r="O7" s="38"/>
    </row>
    <row r="8" spans="1:15" ht="11.4" x14ac:dyDescent="0.25">
      <c r="A8" s="153">
        <v>4</v>
      </c>
      <c r="B8" s="154">
        <v>32</v>
      </c>
      <c r="C8" s="159"/>
      <c r="D8" s="153">
        <v>29</v>
      </c>
      <c r="E8" s="153">
        <f>IF(NOT($D8=0),VLOOKUP($D8,[1]DrawPrep!$A$3:$F$66,6,FALSE),0)</f>
        <v>0</v>
      </c>
      <c r="F8" s="153">
        <f>IF([1]Setup!$B$24="#",0,IF(NOT($D8=0),VLOOKUP($D8,[1]DrawPrep!$A$3:$F$66,3,FALSE),0))</f>
        <v>32761</v>
      </c>
      <c r="G8" s="156" t="str">
        <f>IF($F8&gt;0,VLOOKUP($F8,[1]DrawPrep!$C$3:$F$66,2,FALSE),"bye")</f>
        <v>ΜΙΝΤΑΣ ΝΙΚΟΛΑΟΣ</v>
      </c>
      <c r="H8" s="157" t="str">
        <f t="shared" si="0"/>
        <v>ΜΙΝΤΑΣ</v>
      </c>
      <c r="I8" s="158" t="str">
        <f>IF($F8&gt;0,VLOOKUP($F8,[1]DrawPrep!$C$3:$F$66,3,FALSE),"")</f>
        <v>ΠΕΥΚΗ Γ ΚΑΛΟΒΕΛΩΝΗΣ</v>
      </c>
      <c r="J8" s="81"/>
      <c r="K8" s="15"/>
      <c r="L8" s="37"/>
      <c r="M8" s="64"/>
      <c r="N8" s="66"/>
      <c r="O8" s="49" t="str">
        <f>UPPER(IF($A$2="R",IF(OR(N8=1,N8="a"),M6,IF(OR(N8=2,N8="b"),M10,"")),IF(OR(N8=1,N8="a"),M6,IF(OR(N8=2,N8="b"),M10,""))))</f>
        <v/>
      </c>
    </row>
    <row r="9" spans="1:15" ht="12" x14ac:dyDescent="0.25">
      <c r="A9" s="163">
        <v>5</v>
      </c>
      <c r="B9" s="147">
        <v>2</v>
      </c>
      <c r="C9" s="159"/>
      <c r="D9" s="164">
        <v>20</v>
      </c>
      <c r="E9" s="164">
        <f>IF(NOT($D9=0),VLOOKUP($D9,[1]DrawPrep!$A$3:$F$66,6,FALSE),0)</f>
        <v>0</v>
      </c>
      <c r="F9" s="164">
        <f>IF([1]Setup!$B$24="#",0,IF(NOT($D9=0),VLOOKUP($D9,[1]DrawPrep!$A$3:$F$66,3,FALSE),0))</f>
        <v>18958</v>
      </c>
      <c r="G9" s="165" t="str">
        <f>IF($F9&gt;0,VLOOKUP($F9,[1]DrawPrep!$C$3:$F$66,2,FALSE),"bye")</f>
        <v>ΠΟΥΛΙΟΣ ΝΙΚΟΛΑΟΣ</v>
      </c>
      <c r="H9" s="166" t="str">
        <f t="shared" si="0"/>
        <v>ΠΟΥΛΙΟΣ</v>
      </c>
      <c r="I9" s="35" t="str">
        <f>IF($F9&gt;0,VLOOKUP($F9,[1]DrawPrep!$C$3:$F$66,3,FALSE),"")</f>
        <v>ΑΟΑ ΗΛΙΟΥΠΟΛΗΣ</v>
      </c>
      <c r="J9" s="167"/>
      <c r="K9" s="49" t="str">
        <f>UPPER(IF($A$2="R",IF(OR(J9=1,J9="a"),F9,IF(OR(J9=2,J9="b"),F10,"")),IF(OR(J9=1,J9="a"),H9,IF(OR(J9=2,J9="b"),H10,""))))</f>
        <v/>
      </c>
      <c r="L9" s="37"/>
      <c r="M9" s="64"/>
      <c r="N9" s="37"/>
      <c r="O9" s="36"/>
    </row>
    <row r="10" spans="1:15" ht="12" x14ac:dyDescent="0.25">
      <c r="A10" s="168">
        <v>6</v>
      </c>
      <c r="B10" s="154">
        <v>63</v>
      </c>
      <c r="C10" s="155">
        <v>2</v>
      </c>
      <c r="D10" s="168">
        <v>24</v>
      </c>
      <c r="E10" s="168">
        <f>IF(NOT($D10=0),VLOOKUP($D10,[1]DrawPrep!$A$3:$F$66,6,FALSE),0)</f>
        <v>0</v>
      </c>
      <c r="F10" s="168">
        <f>IF([1]Setup!$B$24="#",0,IF(NOT($D10=0),VLOOKUP($D10,[1]DrawPrep!$A$3:$F$66,3,FALSE),0))</f>
        <v>2080</v>
      </c>
      <c r="G10" s="169" t="str">
        <f>IF($F10&gt;0,VLOOKUP($F10,[1]DrawPrep!$C$3:$F$66,2,FALSE),"bye")</f>
        <v>ΒΟΥΤΣΑΣ ΘΕΟΔΩΡΟΣ</v>
      </c>
      <c r="H10" s="49" t="str">
        <f t="shared" si="0"/>
        <v>ΒΟΥΤΣΑΣ</v>
      </c>
      <c r="I10" s="82" t="str">
        <f>IF($F10&gt;0,VLOOKUP($F10,[1]DrawPrep!$C$3:$F$66,3,FALSE),"")</f>
        <v>ΟΑ ΜΑΓΝΗΣΙΑΣ</v>
      </c>
      <c r="J10" s="81"/>
      <c r="K10" s="58"/>
      <c r="L10" s="66"/>
      <c r="M10" s="82" t="str">
        <f>UPPER(IF($A$2="R",IF(OR(L10=1,L10="a"),K9,IF(OR(L10=2,L10="b"),K11,"")),IF(OR(L10=1,L10="a"),K9,IF(OR(L10=2,L10="b"),K11,""))))</f>
        <v/>
      </c>
      <c r="N10" s="6"/>
      <c r="O10" s="36" t="str">
        <f>UPPER(IF($A$2="R",IF(OR(N10=1,N10="a"),M9,IF(OR(N10=2,N10="b"),M11,"")),IF(OR(N10=1,N10="a"),M9,IF(OR(N10=2,N10="b"),M11,""))))</f>
        <v/>
      </c>
    </row>
    <row r="11" spans="1:15" ht="11.4" x14ac:dyDescent="0.25">
      <c r="A11" s="163">
        <v>7</v>
      </c>
      <c r="B11" s="154">
        <v>47</v>
      </c>
      <c r="C11" s="170">
        <v>18</v>
      </c>
      <c r="D11" s="163"/>
      <c r="E11" s="163">
        <f>IF(NOT($D11=0),VLOOKUP($D11,[1]DrawPrep!$A$3:$F$66,6,FALSE),0)</f>
        <v>0</v>
      </c>
      <c r="F11" s="163">
        <f>IF([1]Setup!$B$24="#",0,IF(NOT($D11=0),VLOOKUP($D11,[1]DrawPrep!$A$3:$F$66,3,FALSE),0))</f>
        <v>0</v>
      </c>
      <c r="G11" s="171" t="str">
        <f>IF($F11&gt;0,VLOOKUP($F11,[1]DrawPrep!$C$3:$F$66,2,FALSE),"bye")</f>
        <v>bye</v>
      </c>
      <c r="H11" s="55" t="str">
        <f t="shared" si="0"/>
        <v/>
      </c>
      <c r="I11" s="57" t="str">
        <f>IF($F11&gt;0,VLOOKUP($F11,[1]DrawPrep!$C$3:$F$66,3,FALSE),"")</f>
        <v/>
      </c>
      <c r="J11" s="66">
        <v>2</v>
      </c>
      <c r="K11" s="49" t="str">
        <f>UPPER(IF($A$2="R",IF(OR(J11=1,J11="a"),F11,IF(OR(J11=2,J11="b"),F12,"")),IF(OR(J11=1,J11="a"),H11,IF(OR(J11=2,J11="b"),H12,""))))</f>
        <v>ΚΑΒΑΛΛΑΣ</v>
      </c>
      <c r="L11" s="81"/>
      <c r="M11" s="172"/>
      <c r="N11" s="6"/>
      <c r="O11" s="38"/>
    </row>
    <row r="12" spans="1:15" ht="11.4" x14ac:dyDescent="0.25">
      <c r="A12" s="168">
        <v>8</v>
      </c>
      <c r="B12" s="154">
        <v>31</v>
      </c>
      <c r="C12" s="159"/>
      <c r="D12" s="168">
        <v>16</v>
      </c>
      <c r="E12" s="168">
        <f>IF(NOT($D12=0),VLOOKUP($D12,[1]DrawPrep!$A$3:$F$66,6,FALSE),0)</f>
        <v>0</v>
      </c>
      <c r="F12" s="168">
        <f>IF([1]Setup!$B$24="#",0,IF(NOT($D12=0),VLOOKUP($D12,[1]DrawPrep!$A$3:$F$66,3,FALSE),0))</f>
        <v>19813</v>
      </c>
      <c r="G12" s="169" t="str">
        <f>IF($F12&gt;0,VLOOKUP($F12,[1]DrawPrep!$C$3:$F$66,2,FALSE),"bye")</f>
        <v>ΚΑΒΑΛΛΑΣ ΘΕΟΔΩΡΟΣ</v>
      </c>
      <c r="H12" s="49" t="str">
        <f t="shared" si="0"/>
        <v>ΚΑΒΑΛΛΑΣ</v>
      </c>
      <c r="I12" s="82" t="str">
        <f>IF($F12&gt;0,VLOOKUP($F12,[1]DrawPrep!$C$3:$F$66,3,FALSE),"")</f>
        <v>ΓΣ ΗΛΙΟΥΠΟΛΗΣ</v>
      </c>
      <c r="J12" s="81"/>
      <c r="K12" s="172"/>
      <c r="L12" s="39"/>
      <c r="M12" s="36"/>
      <c r="N12" s="37"/>
      <c r="O12" s="36"/>
    </row>
    <row r="13" spans="1:15" ht="12" x14ac:dyDescent="0.25">
      <c r="A13" s="173">
        <v>9</v>
      </c>
      <c r="B13" s="147">
        <v>3</v>
      </c>
      <c r="C13" s="159"/>
      <c r="D13" s="174">
        <v>2</v>
      </c>
      <c r="E13" s="174">
        <f>IF(NOT($D13=0),VLOOKUP($D13,[1]DrawPrep!$A$3:$F$66,6,FALSE),0)</f>
        <v>1.75</v>
      </c>
      <c r="F13" s="174">
        <f>IF([1]Setup!$B$24="#",0,IF(NOT($D13=0),VLOOKUP($D13,[1]DrawPrep!$A$3:$F$66,3,FALSE),0))</f>
        <v>32472</v>
      </c>
      <c r="G13" s="175" t="str">
        <f>IF($F13&gt;0,VLOOKUP($F13,[1]DrawPrep!$C$3:$F$66,2,FALSE),"bye")</f>
        <v>ΜΑΝΟΥΣΑΚΗΣ ΔΗΜΗΤΡΙΟΣ-ΠΑΝΑΓΙΩΤΗΣ</v>
      </c>
      <c r="H13" s="176" t="str">
        <f t="shared" si="0"/>
        <v>ΜΑΝΟΥΣΑΚΗΣ</v>
      </c>
      <c r="I13" s="177" t="str">
        <f>IF($F13&gt;0,VLOOKUP($F13,[1]DrawPrep!$C$3:$F$66,3,FALSE),"")</f>
        <v>ΑΚΑ ΜΑΡΑΘΩΝΑ</v>
      </c>
      <c r="J13" s="66">
        <v>1</v>
      </c>
      <c r="K13" s="49" t="str">
        <f>UPPER(IF($A$2="R",IF(OR(J13=1,J13="a"),F13,IF(OR(J13=2,J13="b"),F14,"")),IF(OR(J13=1,J13="a"),H13,IF(OR(J13=2,J13="b"),H14,""))))</f>
        <v>ΜΑΝΟΥΣΑΚΗΣ</v>
      </c>
      <c r="L13" s="37"/>
      <c r="M13" s="36"/>
      <c r="N13" s="37"/>
      <c r="O13" s="36"/>
    </row>
    <row r="14" spans="1:15" ht="12" x14ac:dyDescent="0.25">
      <c r="A14" s="173">
        <v>10</v>
      </c>
      <c r="B14" s="154">
        <v>62</v>
      </c>
      <c r="C14" s="155">
        <v>3</v>
      </c>
      <c r="D14" s="173">
        <f>VLOOKUP($B14,[1]Setup!$M$4:$N$67,2,FALSE)</f>
        <v>0</v>
      </c>
      <c r="E14" s="173">
        <f>IF(NOT($D14=0),VLOOKUP($D14,[1]DrawPrep!$A$3:$F$66,6,FALSE),0)</f>
        <v>0</v>
      </c>
      <c r="F14" s="173">
        <f>IF([1]Setup!$B$24="#",0,IF(NOT($D14=0),VLOOKUP($D14,[1]DrawPrep!$A$3:$F$66,3,FALSE),0))</f>
        <v>0</v>
      </c>
      <c r="G14" s="178" t="str">
        <f>IF($F14&gt;0,VLOOKUP($F14,[1]DrawPrep!$C$3:$F$66,2,FALSE),"bye")</f>
        <v>bye</v>
      </c>
      <c r="H14" s="179" t="str">
        <f t="shared" si="0"/>
        <v/>
      </c>
      <c r="I14" s="180" t="str">
        <f>IF($F14&gt;0,VLOOKUP($F14,[1]DrawPrep!$C$3:$F$66,3,FALSE),"")</f>
        <v/>
      </c>
      <c r="J14" s="81"/>
      <c r="K14" s="58"/>
      <c r="L14" s="66"/>
      <c r="M14" s="49" t="str">
        <f>UPPER(IF($A$2="R",IF(OR(L14=1,L14="a"),K13,IF(OR(L14=2,L14="b"),K15,"")),IF(OR(L14=1,L14="a"),K13,IF(OR(L14=2,L14="b"),K15,""))))</f>
        <v/>
      </c>
      <c r="N14" s="6"/>
      <c r="O14" s="36" t="str">
        <f>UPPER(IF($A$2="R",IF(OR(N14=1,N14="a"),M13,IF(OR(N14=2,N14="b"),M15,"")),IF(OR(N14=1,N14="a"),M13,IF(OR(N14=2,N14="b"),M15,""))))</f>
        <v/>
      </c>
    </row>
    <row r="15" spans="1:15" ht="11.4" x14ac:dyDescent="0.25">
      <c r="A15" s="145">
        <v>11</v>
      </c>
      <c r="B15" s="154">
        <v>46</v>
      </c>
      <c r="C15" s="159">
        <v>19</v>
      </c>
      <c r="D15" s="145">
        <v>22</v>
      </c>
      <c r="E15" s="145">
        <f>IF(NOT($D15=0),VLOOKUP($D15,[1]DrawPrep!$A$3:$F$66,6,FALSE),0)</f>
        <v>0</v>
      </c>
      <c r="F15" s="145">
        <f>IF([1]Setup!$B$24="#",0,IF(NOT($D15=0),VLOOKUP($D15,[1]DrawPrep!$A$3:$F$66,3,FALSE),0))</f>
        <v>13330</v>
      </c>
      <c r="G15" s="160" t="str">
        <f>IF($F15&gt;0,VLOOKUP($F15,[1]DrawPrep!$C$3:$F$66,2,FALSE),"bye")</f>
        <v>ΠΕΡΔΙΚΟΓΙΑΝΝΗΣ ΣΤΥΛΙΑΝΟΣ</v>
      </c>
      <c r="H15" s="161" t="str">
        <f t="shared" si="0"/>
        <v>ΠΕΡΔΙΚΟΓΙΑΝΝΗΣ</v>
      </c>
      <c r="I15" s="162" t="str">
        <f>IF($F15&gt;0,VLOOKUP($F15,[1]DrawPrep!$C$3:$F$66,3,FALSE),"")</f>
        <v>ΗΡΑΚΛΕΙΟ ΟΑΑ</v>
      </c>
      <c r="J15" s="66">
        <v>1</v>
      </c>
      <c r="K15" s="49" t="str">
        <f>UPPER(IF($A$2="R",IF(OR(J15=1,J15="a"),F15,IF(OR(J15=2,J15="b"),F16,"")),IF(OR(J15=1,J15="a"),H15,IF(OR(J15=2,J15="b"),H16,""))))</f>
        <v>ΠΕΡΔΙΚΟΓΙΑΝΝΗΣ</v>
      </c>
      <c r="L15" s="81"/>
      <c r="M15" s="58"/>
      <c r="N15" s="6"/>
      <c r="O15" s="38"/>
    </row>
    <row r="16" spans="1:15" ht="11.4" x14ac:dyDescent="0.25">
      <c r="A16" s="153">
        <v>12</v>
      </c>
      <c r="B16" s="154">
        <v>30</v>
      </c>
      <c r="C16" s="159"/>
      <c r="D16" s="153"/>
      <c r="E16" s="153">
        <f>IF(NOT($D16=0),VLOOKUP($D16,[1]DrawPrep!$A$3:$F$66,6,FALSE),0)</f>
        <v>0</v>
      </c>
      <c r="F16" s="153">
        <f>IF([1]Setup!$B$24="#",0,IF(NOT($D16=0),VLOOKUP($D16,[1]DrawPrep!$A$3:$F$66,3,FALSE),0))</f>
        <v>0</v>
      </c>
      <c r="G16" s="156" t="str">
        <f>IF($F16&gt;0,VLOOKUP($F16,[1]DrawPrep!$C$3:$F$66,2,FALSE),"bye")</f>
        <v>bye</v>
      </c>
      <c r="H16" s="157" t="str">
        <f t="shared" si="0"/>
        <v/>
      </c>
      <c r="I16" s="158" t="str">
        <f>IF($F16&gt;0,VLOOKUP($F16,[1]DrawPrep!$C$3:$F$66,3,FALSE),"")</f>
        <v/>
      </c>
      <c r="J16" s="71"/>
      <c r="K16" s="172"/>
      <c r="L16" s="37"/>
      <c r="M16" s="64"/>
      <c r="N16" s="66"/>
      <c r="O16" s="49" t="str">
        <f>UPPER(IF($A$2="R",IF(OR(N16=1,N16="a"),M14,IF(OR(N16=2,N16="b"),M18,"")),IF(OR(N16=1,N16="a"),M14,IF(OR(N16=2,N16="b"),M18,""))))</f>
        <v/>
      </c>
    </row>
    <row r="17" spans="1:15" ht="12" x14ac:dyDescent="0.25">
      <c r="A17" s="129">
        <v>13</v>
      </c>
      <c r="B17" s="147">
        <v>4</v>
      </c>
      <c r="C17" s="159"/>
      <c r="D17" s="181">
        <v>14</v>
      </c>
      <c r="E17" s="181">
        <f>IF(NOT($D17=0),VLOOKUP($D17,[1]DrawPrep!$A$3:$F$66,6,FALSE),0)</f>
        <v>0</v>
      </c>
      <c r="F17" s="181">
        <f>IF([1]Setup!$B$24="#",0,IF(NOT($D17=0),VLOOKUP($D17,[1]DrawPrep!$A$3:$F$66,3,FALSE),0))</f>
        <v>23357</v>
      </c>
      <c r="G17" s="182" t="str">
        <f>IF($F17&gt;0,VLOOKUP($F17,[1]DrawPrep!$C$3:$F$66,2,FALSE),"bye")</f>
        <v>ΑΝΔΡΟΥΤΣΕΛΗΣ ΑΛΕΞΙΟΣ</v>
      </c>
      <c r="H17" s="183" t="str">
        <f t="shared" si="0"/>
        <v>ΑΝΔΡΟΥΤΣΕΛΗΣ</v>
      </c>
      <c r="I17" s="47" t="str">
        <f>IF($F17&gt;0,VLOOKUP($F17,[1]DrawPrep!$C$3:$F$66,3,FALSE),"")</f>
        <v>ΑΟΑ ΠΑΤΡΩΝ</v>
      </c>
      <c r="J17" s="66">
        <v>1</v>
      </c>
      <c r="K17" s="49" t="str">
        <f>UPPER(IF($A$2="R",IF(OR(J17=1,J17="a"),F17,IF(OR(J17=2,J17="b"),F18,"")),IF(OR(J17=1,J17="a"),H17,IF(OR(J17=2,J17="b"),H18,""))))</f>
        <v>ΑΝΔΡΟΥΤΣΕΛΗΣ</v>
      </c>
      <c r="L17" s="37"/>
      <c r="M17" s="64"/>
      <c r="N17" s="184"/>
      <c r="O17" s="36"/>
    </row>
    <row r="18" spans="1:15" ht="12" x14ac:dyDescent="0.25">
      <c r="A18" s="129">
        <v>14</v>
      </c>
      <c r="B18" s="154">
        <v>61</v>
      </c>
      <c r="C18" s="155">
        <v>4</v>
      </c>
      <c r="D18" s="129"/>
      <c r="E18" s="129">
        <f>IF(NOT($D18=0),VLOOKUP($D18,[1]DrawPrep!$A$3:$F$66,6,FALSE),0)</f>
        <v>0</v>
      </c>
      <c r="F18" s="129">
        <f>IF([1]Setup!$B$24="#",0,IF(NOT($D18=0),VLOOKUP($D18,[1]DrawPrep!$A$3:$F$66,3,FALSE),0))</f>
        <v>0</v>
      </c>
      <c r="G18" s="185" t="str">
        <f>IF($F18&gt;0,VLOOKUP($F18,[1]DrawPrep!$C$3:$F$66,2,FALSE),"bye")</f>
        <v>bye</v>
      </c>
      <c r="H18" s="36" t="str">
        <f t="shared" si="0"/>
        <v/>
      </c>
      <c r="I18" s="64" t="str">
        <f>IF($F18&gt;0,VLOOKUP($F18,[1]DrawPrep!$C$3:$F$66,3,FALSE),"")</f>
        <v/>
      </c>
      <c r="J18" s="81"/>
      <c r="K18" s="58"/>
      <c r="L18" s="66"/>
      <c r="M18" s="82" t="str">
        <f>UPPER(IF($A$2="R",IF(OR(L18=1,L18="a"),K17,IF(OR(L18=2,L18="b"),K19,"")),IF(OR(L18=1,L18="a"),K17,IF(OR(L18=2,L18="b"),K19,""))))</f>
        <v/>
      </c>
      <c r="N18" s="6"/>
      <c r="O18" s="36" t="str">
        <f>UPPER(IF($A$2="R",IF(OR(N18=1,N18="a"),M17,IF(OR(N18=2,N18="b"),M19,"")),IF(OR(N18=1,N18="a"),M17,IF(OR(N18=2,N18="b"),M19,""))))</f>
        <v/>
      </c>
    </row>
    <row r="19" spans="1:15" ht="11.4" x14ac:dyDescent="0.25">
      <c r="A19" s="163">
        <v>15</v>
      </c>
      <c r="B19" s="154">
        <v>45</v>
      </c>
      <c r="C19" s="170">
        <v>20</v>
      </c>
      <c r="D19" s="163">
        <f>VLOOKUP($B19,[1]Setup!$M$4:$N$67,2,FALSE)</f>
        <v>0</v>
      </c>
      <c r="E19" s="163">
        <f>IF(NOT($D19=0),VLOOKUP($D19,[1]DrawPrep!$A$3:$F$66,6,FALSE),0)</f>
        <v>0</v>
      </c>
      <c r="F19" s="163">
        <f>IF([1]Setup!$B$24="#",0,IF(NOT($D19=0),VLOOKUP($D19,[1]DrawPrep!$A$3:$F$66,3,FALSE),0))</f>
        <v>0</v>
      </c>
      <c r="G19" s="171" t="str">
        <f>IF($F19&gt;0,VLOOKUP($F19,[1]DrawPrep!$C$3:$F$66,2,FALSE),"bye")</f>
        <v>bye</v>
      </c>
      <c r="H19" s="55" t="str">
        <f t="shared" si="0"/>
        <v/>
      </c>
      <c r="I19" s="57" t="str">
        <f>IF($F19&gt;0,VLOOKUP($F19,[1]DrawPrep!$C$3:$F$66,3,FALSE),"")</f>
        <v/>
      </c>
      <c r="J19" s="66">
        <v>2</v>
      </c>
      <c r="K19" s="49" t="str">
        <f>UPPER(IF($A$2="R",IF(OR(J19=1,J19="a"),F19,IF(OR(J19=2,J19="b"),F20,"")),IF(OR(J19=1,J19="a"),H19,IF(OR(J19=2,J19="b"),H20,""))))</f>
        <v>ΚΟΣΜΑΣ</v>
      </c>
      <c r="L19" s="81"/>
      <c r="M19" s="172"/>
      <c r="N19" s="6"/>
      <c r="O19" s="38"/>
    </row>
    <row r="20" spans="1:15" ht="11.4" x14ac:dyDescent="0.25">
      <c r="A20" s="168">
        <v>16</v>
      </c>
      <c r="B20" s="154">
        <v>29</v>
      </c>
      <c r="C20" s="159"/>
      <c r="D20" s="168">
        <v>12</v>
      </c>
      <c r="E20" s="168">
        <f>IF(NOT($D20=0),VLOOKUP($D20,[1]DrawPrep!$A$3:$F$66,6,FALSE),0)</f>
        <v>0</v>
      </c>
      <c r="F20" s="168">
        <f>IF([1]Setup!$B$24="#",0,IF(NOT($D20=0),VLOOKUP($D20,[1]DrawPrep!$A$3:$F$66,3,FALSE),0))</f>
        <v>26263</v>
      </c>
      <c r="G20" s="169" t="str">
        <f>IF($F20&gt;0,VLOOKUP($F20,[1]DrawPrep!$C$3:$F$66,2,FALSE),"bye")</f>
        <v>ΚΟΣΜΑΣ ΠΑΝΑΓΙΩΤΗΣ</v>
      </c>
      <c r="H20" s="49" t="str">
        <f t="shared" si="0"/>
        <v>ΚΟΣΜΑΣ</v>
      </c>
      <c r="I20" s="82" t="str">
        <f>IF($F20&gt;0,VLOOKUP($F20,[1]DrawPrep!$C$3:$F$66,3,FALSE),"")</f>
        <v>ΟΑ Ο ΦΙΛΑΘΛΟΣ</v>
      </c>
      <c r="J20" s="81"/>
      <c r="K20" s="172"/>
      <c r="L20" s="37"/>
      <c r="M20" s="36"/>
      <c r="N20" s="37"/>
      <c r="O20" s="36"/>
    </row>
    <row r="21" spans="1:15" ht="12" x14ac:dyDescent="0.25">
      <c r="A21" s="173">
        <v>17</v>
      </c>
      <c r="B21" s="147">
        <v>5</v>
      </c>
      <c r="C21" s="159"/>
      <c r="D21" s="174">
        <v>3</v>
      </c>
      <c r="E21" s="174">
        <f>IF(NOT($D21=0),VLOOKUP($D21,[1]DrawPrep!$A$3:$F$66,6,FALSE),0)</f>
        <v>1.5</v>
      </c>
      <c r="F21" s="174">
        <f>IF([1]Setup!$B$24="#",0,IF(NOT($D21=0),VLOOKUP($D21,[1]DrawPrep!$A$3:$F$66,3,FALSE),0))</f>
        <v>27690</v>
      </c>
      <c r="G21" s="175" t="str">
        <f>IF($F21&gt;0,VLOOKUP($F21,[1]DrawPrep!$C$3:$F$66,2,FALSE),"bye")</f>
        <v>ΣΠΥΡΟΠΟΥΛΟΣ ΑΘΑΝΑΣΙΟΣ</v>
      </c>
      <c r="H21" s="176" t="str">
        <f t="shared" si="0"/>
        <v>ΣΠΥΡΟΠΟΥΛΟΣ</v>
      </c>
      <c r="I21" s="177" t="str">
        <f>IF($F21&gt;0,VLOOKUP($F21,[1]DrawPrep!$C$3:$F$66,3,FALSE),"")</f>
        <v>ΑΟΑ ΦΙΛΟΘΕΗΣ</v>
      </c>
      <c r="J21" s="66">
        <v>1</v>
      </c>
      <c r="K21" s="49" t="str">
        <f>UPPER(IF($A$2="R",IF(OR(J21=1,J21="a"),F21,IF(OR(J21=2,J21="b"),F22,"")),IF(OR(J21=1,J21="a"),H21,IF(OR(J21=2,J21="b"),H22,""))))</f>
        <v>ΣΠΥΡΟΠΟΥΛΟΣ</v>
      </c>
      <c r="L21" s="37"/>
      <c r="M21" s="36"/>
      <c r="N21" s="37"/>
      <c r="O21" s="36"/>
    </row>
    <row r="22" spans="1:15" ht="12" x14ac:dyDescent="0.25">
      <c r="A22" s="153">
        <v>18</v>
      </c>
      <c r="B22" s="154">
        <v>60</v>
      </c>
      <c r="C22" s="155">
        <v>5</v>
      </c>
      <c r="D22" s="153">
        <f>VLOOKUP($B22,[1]Setup!$M$4:$N$67,2,FALSE)</f>
        <v>0</v>
      </c>
      <c r="E22" s="153">
        <f>IF(NOT($D22=0),VLOOKUP($D22,[1]DrawPrep!$A$3:$F$66,6,FALSE),0)</f>
        <v>0</v>
      </c>
      <c r="F22" s="153">
        <f>IF([1]Setup!$B$24="#",0,IF(NOT($D22=0),VLOOKUP($D22,[1]DrawPrep!$A$3:$F$66,3,FALSE),0))</f>
        <v>0</v>
      </c>
      <c r="G22" s="156" t="str">
        <f>IF($F22&gt;0,VLOOKUP($F22,[1]DrawPrep!$C$3:$F$66,2,FALSE),"bye")</f>
        <v>bye</v>
      </c>
      <c r="H22" s="157" t="str">
        <f t="shared" si="0"/>
        <v/>
      </c>
      <c r="I22" s="158" t="str">
        <f>IF($F22&gt;0,VLOOKUP($F22,[1]DrawPrep!$C$3:$F$66,3,FALSE),"")</f>
        <v/>
      </c>
      <c r="J22" s="81"/>
      <c r="K22" s="58"/>
      <c r="L22" s="66"/>
      <c r="M22" s="49" t="str">
        <f>UPPER(IF($A$2="R",IF(OR(L22=1,L22="a"),K21,IF(OR(L22=2,L22="b"),K23,"")),IF(OR(L22=1,L22="a"),K21,IF(OR(L22=2,L22="b"),K23,""))))</f>
        <v/>
      </c>
      <c r="N22" s="6"/>
      <c r="O22" s="36" t="str">
        <f>UPPER(IF($A$2="R",IF(OR(N22=1,N22="a"),M21,IF(OR(N22=2,N22="b"),M23,"")),IF(OR(N22=1,N22="a"),M21,IF(OR(N22=2,N22="b"),M23,""))))</f>
        <v/>
      </c>
    </row>
    <row r="23" spans="1:15" ht="11.4" x14ac:dyDescent="0.25">
      <c r="A23" s="145">
        <v>19</v>
      </c>
      <c r="B23" s="154">
        <v>44</v>
      </c>
      <c r="C23" s="159">
        <v>21</v>
      </c>
      <c r="D23" s="145">
        <f>VLOOKUP($B23,[1]Setup!$M$4:$N$67,2,FALSE)</f>
        <v>0</v>
      </c>
      <c r="E23" s="145">
        <f>IF(NOT($D23=0),VLOOKUP($D23,[1]DrawPrep!$A$3:$F$66,6,FALSE),0)</f>
        <v>0</v>
      </c>
      <c r="F23" s="145">
        <f>IF([1]Setup!$B$24="#",0,IF(NOT($D23=0),VLOOKUP($D23,[1]DrawPrep!$A$3:$F$66,3,FALSE),0))</f>
        <v>0</v>
      </c>
      <c r="G23" s="160" t="str">
        <f>IF($F23&gt;0,VLOOKUP($F23,[1]DrawPrep!$C$3:$F$66,2,FALSE),"bye")</f>
        <v>bye</v>
      </c>
      <c r="H23" s="161" t="str">
        <f t="shared" si="0"/>
        <v/>
      </c>
      <c r="I23" s="162" t="str">
        <f>IF($F23&gt;0,VLOOKUP($F23,[1]DrawPrep!$C$3:$F$66,3,FALSE),"")</f>
        <v/>
      </c>
      <c r="J23" s="66">
        <v>2</v>
      </c>
      <c r="K23" s="49" t="str">
        <f>UPPER(IF($A$2="R",IF(OR(J23=1,J23="a"),F23,IF(OR(J23=2,J23="b"),F24,"")),IF(OR(J23=1,J23="a"),H23,IF(OR(J23=2,J23="b"),H24,""))))</f>
        <v>ΛΙΟΛΗΣ</v>
      </c>
      <c r="L23" s="81"/>
      <c r="M23" s="58"/>
      <c r="N23" s="6"/>
      <c r="O23" s="38"/>
    </row>
    <row r="24" spans="1:15" ht="11.4" x14ac:dyDescent="0.25">
      <c r="A24" s="153">
        <v>20</v>
      </c>
      <c r="B24" s="154">
        <v>28</v>
      </c>
      <c r="C24" s="159"/>
      <c r="D24" s="153">
        <v>31</v>
      </c>
      <c r="E24" s="153">
        <f>IF(NOT($D24=0),VLOOKUP($D24,[1]DrawPrep!$A$3:$F$66,6,FALSE),0)</f>
        <v>0</v>
      </c>
      <c r="F24" s="153">
        <f>IF([1]Setup!$B$24="#",0,IF(NOT($D24=0),VLOOKUP($D24,[1]DrawPrep!$A$3:$F$66,3,FALSE),0))</f>
        <v>4133</v>
      </c>
      <c r="G24" s="156" t="str">
        <f>IF($F24&gt;0,VLOOKUP($F24,[1]DrawPrep!$C$3:$F$66,2,FALSE),"bye")</f>
        <v>ΛΙΟΛΗΣ ΓΕΩΡΓΙΟΣ</v>
      </c>
      <c r="H24" s="157" t="str">
        <f t="shared" si="0"/>
        <v>ΛΙΟΛΗΣ</v>
      </c>
      <c r="I24" s="158" t="str">
        <f>IF($F24&gt;0,VLOOKUP($F24,[1]DrawPrep!$C$3:$F$66,3,FALSE),"")</f>
        <v>ΑΟΑ ΑΡΓΥΡΟΥΠΟΛΗΣ</v>
      </c>
      <c r="J24" s="81"/>
      <c r="K24" s="15"/>
      <c r="L24" s="37"/>
      <c r="M24" s="64"/>
      <c r="N24" s="66"/>
      <c r="O24" s="49" t="str">
        <f>UPPER(IF($A$2="R",IF(OR(N24=1,N24="a"),M22,IF(OR(N24=2,N24="b"),M26,"")),IF(OR(N24=1,N24="a"),M22,IF(OR(N24=2,N24="b"),M26,""))))</f>
        <v/>
      </c>
    </row>
    <row r="25" spans="1:15" ht="12" x14ac:dyDescent="0.25">
      <c r="A25" s="129">
        <v>21</v>
      </c>
      <c r="B25" s="147">
        <v>6</v>
      </c>
      <c r="C25" s="159"/>
      <c r="D25" s="181">
        <v>26</v>
      </c>
      <c r="E25" s="181">
        <f>IF(NOT($D25=0),VLOOKUP($D25,[1]DrawPrep!$A$3:$F$66,6,FALSE),0)</f>
        <v>0</v>
      </c>
      <c r="F25" s="181">
        <f>IF([1]Setup!$B$24="#",0,IF(NOT($D25=0),VLOOKUP($D25,[1]DrawPrep!$A$3:$F$66,3,FALSE),0))</f>
        <v>32605</v>
      </c>
      <c r="G25" s="182" t="str">
        <f>IF($F25&gt;0,VLOOKUP($F25,[1]DrawPrep!$C$3:$F$66,2,FALSE),"bye")</f>
        <v>ΚΥΠΡΙΩΤΗΣ ΕΥΑΓΓΕΛΟΣ</v>
      </c>
      <c r="H25" s="183" t="str">
        <f t="shared" si="0"/>
        <v>ΚΥΠΡΙΩΤΗΣ</v>
      </c>
      <c r="I25" s="47" t="str">
        <f>IF($F25&gt;0,VLOOKUP($F25,[1]DrawPrep!$C$3:$F$66,3,FALSE),"")</f>
        <v>ΟΑ ΑΘΗΝΩΝ</v>
      </c>
      <c r="J25" s="66">
        <v>1</v>
      </c>
      <c r="K25" s="49" t="str">
        <f>UPPER(IF($A$2="R",IF(OR(J25=1,J25="a"),F25,IF(OR(J25=2,J25="b"),F26,"")),IF(OR(J25=1,J25="a"),H25,IF(OR(J25=2,J25="b"),H26,""))))</f>
        <v>ΚΥΠΡΙΩΤΗΣ</v>
      </c>
      <c r="L25" s="37"/>
      <c r="M25" s="64"/>
      <c r="N25" s="37"/>
      <c r="O25" s="36"/>
    </row>
    <row r="26" spans="1:15" ht="12" x14ac:dyDescent="0.25">
      <c r="A26" s="129">
        <v>22</v>
      </c>
      <c r="B26" s="154">
        <v>59</v>
      </c>
      <c r="C26" s="155">
        <v>6</v>
      </c>
      <c r="D26" s="129"/>
      <c r="E26" s="129">
        <f>IF(NOT($D26=0),VLOOKUP($D26,[1]DrawPrep!$A$3:$F$66,6,FALSE),0)</f>
        <v>0</v>
      </c>
      <c r="F26" s="129">
        <f>IF([1]Setup!$B$24="#",0,IF(NOT($D26=0),VLOOKUP($D26,[1]DrawPrep!$A$3:$F$66,3,FALSE),0))</f>
        <v>0</v>
      </c>
      <c r="G26" s="185" t="str">
        <f>IF($F26&gt;0,VLOOKUP($F26,[1]DrawPrep!$C$3:$F$66,2,FALSE),"bye")</f>
        <v>bye</v>
      </c>
      <c r="H26" s="36" t="str">
        <f t="shared" si="0"/>
        <v/>
      </c>
      <c r="I26" s="64" t="str">
        <f>IF($F26&gt;0,VLOOKUP($F26,[1]DrawPrep!$C$3:$F$66,3,FALSE),"")</f>
        <v/>
      </c>
      <c r="J26" s="81"/>
      <c r="K26" s="58"/>
      <c r="L26" s="66"/>
      <c r="M26" s="82" t="str">
        <f>UPPER(IF($A$2="R",IF(OR(L26=1,L26="a"),K25,IF(OR(L26=2,L26="b"),K27,"")),IF(OR(L26=1,L26="a"),K25,IF(OR(L26=2,L26="b"),K27,""))))</f>
        <v/>
      </c>
      <c r="N26" s="6"/>
      <c r="O26" s="36" t="str">
        <f>UPPER(IF($A$2="R",IF(OR(N26=1,N26="a"),M25,IF(OR(N26=2,N26="b"),M27,"")),IF(OR(N26=1,N26="a"),M25,IF(OR(N26=2,N26="b"),M27,""))))</f>
        <v/>
      </c>
    </row>
    <row r="27" spans="1:15" ht="11.4" x14ac:dyDescent="0.25">
      <c r="A27" s="163">
        <v>23</v>
      </c>
      <c r="B27" s="154">
        <v>43</v>
      </c>
      <c r="C27" s="170">
        <v>22</v>
      </c>
      <c r="D27" s="163">
        <f>VLOOKUP($B27,[1]Setup!$M$4:$N$67,2,FALSE)</f>
        <v>0</v>
      </c>
      <c r="E27" s="163">
        <f>IF(NOT($D27=0),VLOOKUP($D27,[1]DrawPrep!$A$3:$F$66,6,FALSE),0)</f>
        <v>0</v>
      </c>
      <c r="F27" s="163">
        <f>IF([1]Setup!$B$24="#",0,IF(NOT($D27=0),VLOOKUP($D27,[1]DrawPrep!$A$3:$F$66,3,FALSE),0))</f>
        <v>0</v>
      </c>
      <c r="G27" s="171" t="str">
        <f>IF($F27&gt;0,VLOOKUP($F27,[1]DrawPrep!$C$3:$F$66,2,FALSE),"bye")</f>
        <v>bye</v>
      </c>
      <c r="H27" s="55" t="str">
        <f t="shared" si="0"/>
        <v/>
      </c>
      <c r="I27" s="57" t="str">
        <f>IF($F27&gt;0,VLOOKUP($F27,[1]DrawPrep!$C$3:$F$66,3,FALSE),"")</f>
        <v/>
      </c>
      <c r="J27" s="66">
        <v>2</v>
      </c>
      <c r="K27" s="49" t="str">
        <f>UPPER(IF($A$2="R",IF(OR(J27=1,J27="a"),F27,IF(OR(J27=2,J27="b"),F28,"")),IF(OR(J27=1,J27="a"),H27,IF(OR(J27=2,J27="b"),H28,""))))</f>
        <v>ΖΗΤΡΙΔΗΣ</v>
      </c>
      <c r="L27" s="81"/>
      <c r="M27" s="172"/>
      <c r="N27" s="6"/>
      <c r="O27" s="38"/>
    </row>
    <row r="28" spans="1:15" ht="11.4" x14ac:dyDescent="0.25">
      <c r="A28" s="168">
        <v>24</v>
      </c>
      <c r="B28" s="154">
        <v>27</v>
      </c>
      <c r="C28" s="159"/>
      <c r="D28" s="168">
        <v>32</v>
      </c>
      <c r="E28" s="168">
        <f>IF(NOT($D28=0),VLOOKUP($D28,[1]DrawPrep!$A$3:$F$66,6,FALSE),0)</f>
        <v>0</v>
      </c>
      <c r="F28" s="168">
        <f>IF([1]Setup!$B$24="#",0,IF(NOT($D28=0),VLOOKUP($D28,[1]DrawPrep!$A$3:$F$66,3,FALSE),0))</f>
        <v>1478</v>
      </c>
      <c r="G28" s="169" t="str">
        <f>IF($F28&gt;0,VLOOKUP($F28,[1]DrawPrep!$C$3:$F$66,2,FALSE),"bye")</f>
        <v>ΖΗΤΡΙΔΗΣ ΑΛΕΞΙΟΣ</v>
      </c>
      <c r="H28" s="49" t="str">
        <f t="shared" si="0"/>
        <v>ΖΗΤΡΙΔΗΣ</v>
      </c>
      <c r="I28" s="82" t="str">
        <f>IF($F28&gt;0,VLOOKUP($F28,[1]DrawPrep!$C$3:$F$66,3,FALSE),"")</f>
        <v>ΑΟΑ ΦΙΛΟΘΕΗΣ</v>
      </c>
      <c r="J28" s="81"/>
      <c r="K28" s="172"/>
      <c r="L28" s="39"/>
      <c r="M28" s="36"/>
      <c r="N28" s="37"/>
      <c r="O28" s="36"/>
    </row>
    <row r="29" spans="1:15" ht="12" x14ac:dyDescent="0.25">
      <c r="A29" s="173">
        <v>25</v>
      </c>
      <c r="B29" s="147">
        <v>7</v>
      </c>
      <c r="C29" s="159"/>
      <c r="D29" s="174">
        <v>4</v>
      </c>
      <c r="E29" s="174">
        <f>IF(NOT($D29=0),VLOOKUP($D29,[1]DrawPrep!$A$3:$F$66,6,FALSE),0)</f>
        <v>0.85</v>
      </c>
      <c r="F29" s="174">
        <f>IF([1]Setup!$B$24="#",0,IF(NOT($D29=0),VLOOKUP($D29,[1]DrawPrep!$A$3:$F$66,3,FALSE),0))</f>
        <v>17656</v>
      </c>
      <c r="G29" s="175" t="str">
        <f>IF($F29&gt;0,VLOOKUP($F29,[1]DrawPrep!$C$3:$F$66,2,FALSE),"bye")</f>
        <v>ΑΝΔΡΟΥΤΣΕΛΗΣ ΙΩΑΝΝΗΣ</v>
      </c>
      <c r="H29" s="176" t="str">
        <f t="shared" si="0"/>
        <v>ΑΝΔΡΟΥΤΣΕΛΗΣ</v>
      </c>
      <c r="I29" s="177" t="str">
        <f>IF($F29&gt;0,VLOOKUP($F29,[1]DrawPrep!$C$3:$F$66,3,FALSE),"")</f>
        <v>ΑΟΑ ΠΑΤΡΩΝ</v>
      </c>
      <c r="J29" s="66">
        <v>1</v>
      </c>
      <c r="K29" s="49" t="str">
        <f>UPPER(IF($A$2="R",IF(OR(J29=1,J29="a"),F29,IF(OR(J29=2,J29="b"),F30,"")),IF(OR(J29=1,J29="a"),H29,IF(OR(J29=2,J29="b"),H30,""))))</f>
        <v>ΑΝΔΡΟΥΤΣΕΛΗΣ</v>
      </c>
      <c r="L29" s="37"/>
      <c r="M29" s="36"/>
      <c r="N29" s="37"/>
      <c r="O29" s="36"/>
    </row>
    <row r="30" spans="1:15" ht="12" x14ac:dyDescent="0.25">
      <c r="A30" s="153">
        <v>26</v>
      </c>
      <c r="B30" s="154">
        <v>58</v>
      </c>
      <c r="C30" s="155">
        <v>7</v>
      </c>
      <c r="D30" s="153">
        <f>VLOOKUP($B30,[1]Setup!$M$4:$N$67,2,FALSE)</f>
        <v>0</v>
      </c>
      <c r="E30" s="153">
        <f>IF(NOT($D30=0),VLOOKUP($D30,[1]DrawPrep!$A$3:$F$66,6,FALSE),0)</f>
        <v>0</v>
      </c>
      <c r="F30" s="153">
        <f>IF([1]Setup!$B$24="#",0,IF(NOT($D30=0),VLOOKUP($D30,[1]DrawPrep!$A$3:$F$66,3,FALSE),0))</f>
        <v>0</v>
      </c>
      <c r="G30" s="156" t="str">
        <f>IF($F30&gt;0,VLOOKUP($F30,[1]DrawPrep!$C$3:$F$66,2,FALSE),"bye")</f>
        <v>bye</v>
      </c>
      <c r="H30" s="157" t="str">
        <f t="shared" si="0"/>
        <v/>
      </c>
      <c r="I30" s="158" t="str">
        <f>IF($F30&gt;0,VLOOKUP($F30,[1]DrawPrep!$C$3:$F$66,3,FALSE),"")</f>
        <v/>
      </c>
      <c r="J30" s="81"/>
      <c r="K30" s="58"/>
      <c r="L30" s="66"/>
      <c r="M30" s="49" t="str">
        <f>UPPER(IF($A$2="R",IF(OR(L30=1,L30="a"),K29,IF(OR(L30=2,L30="b"),K31,"")),IF(OR(L30=1,L30="a"),K29,IF(OR(L30=2,L30="b"),K31,""))))</f>
        <v/>
      </c>
      <c r="N30" s="6"/>
      <c r="O30" s="36" t="str">
        <f>UPPER(IF($A$2="R",IF(OR(N30=1,N30="a"),M29,IF(OR(N30=2,N30="b"),M31,"")),IF(OR(N30=1,N30="a"),M29,IF(OR(N30=2,N30="b"),M31,""))))</f>
        <v/>
      </c>
    </row>
    <row r="31" spans="1:15" ht="11.4" x14ac:dyDescent="0.25">
      <c r="A31" s="173">
        <v>27</v>
      </c>
      <c r="B31" s="154">
        <v>42</v>
      </c>
      <c r="C31" s="159">
        <v>23</v>
      </c>
      <c r="D31" s="173">
        <f>VLOOKUP($B31,[1]Setup!$M$4:$N$67,2,FALSE)</f>
        <v>0</v>
      </c>
      <c r="E31" s="173">
        <f>IF(NOT($D31=0),VLOOKUP($D31,[1]DrawPrep!$A$3:$F$66,6,FALSE),0)</f>
        <v>0</v>
      </c>
      <c r="F31" s="173">
        <f>IF([1]Setup!$B$24="#",0,IF(NOT($D31=0),VLOOKUP($D31,[1]DrawPrep!$A$3:$F$66,3,FALSE),0))</f>
        <v>0</v>
      </c>
      <c r="G31" s="178" t="str">
        <f>IF($F31&gt;0,VLOOKUP($F31,[1]DrawPrep!$C$3:$F$66,2,FALSE),"bye")</f>
        <v>bye</v>
      </c>
      <c r="H31" s="179" t="str">
        <f t="shared" si="0"/>
        <v/>
      </c>
      <c r="I31" s="180" t="str">
        <f>IF($F31&gt;0,VLOOKUP($F31,[1]DrawPrep!$C$3:$F$66,3,FALSE),"")</f>
        <v/>
      </c>
      <c r="J31" s="66">
        <v>2</v>
      </c>
      <c r="K31" s="49" t="str">
        <f>UPPER(IF($A$2="R",IF(OR(J31=1,J31="a"),F31,IF(OR(J31=2,J31="b"),F32,"")),IF(OR(J31=1,J31="a"),H31,IF(OR(J31=2,J31="b"),H32,""))))</f>
        <v>ΜΠΙΣΜΠΙΚΟΣ</v>
      </c>
      <c r="L31" s="81"/>
      <c r="M31" s="58"/>
      <c r="N31" s="6"/>
      <c r="O31" s="38"/>
    </row>
    <row r="32" spans="1:15" ht="11.4" x14ac:dyDescent="0.25">
      <c r="A32" s="173">
        <v>28</v>
      </c>
      <c r="B32" s="154">
        <v>26</v>
      </c>
      <c r="C32" s="159"/>
      <c r="D32" s="173">
        <f>VLOOKUP($B32,[1]Setup!$M$4:$N$67,2,FALSE)</f>
        <v>25</v>
      </c>
      <c r="E32" s="173">
        <f>IF(NOT($D32=0),VLOOKUP($D32,[1]DrawPrep!$A$3:$F$66,6,FALSE),0)</f>
        <v>0</v>
      </c>
      <c r="F32" s="173">
        <f>IF([1]Setup!$B$24="#",0,IF(NOT($D32=0),VLOOKUP($D32,[1]DrawPrep!$A$3:$F$66,3,FALSE),0))</f>
        <v>19851</v>
      </c>
      <c r="G32" s="178" t="str">
        <f>IF($F32&gt;0,VLOOKUP($F32,[1]DrawPrep!$C$3:$F$66,2,FALSE),"bye")</f>
        <v>ΜΠΙΣΜΠΙΚΟΣ ΝΙΚΟΛΑΣ</v>
      </c>
      <c r="H32" s="179" t="str">
        <f t="shared" si="0"/>
        <v>ΜΠΙΣΜΠΙΚΟΣ</v>
      </c>
      <c r="I32" s="180" t="str">
        <f>IF($F32&gt;0,VLOOKUP($F32,[1]DrawPrep!$C$3:$F$66,3,FALSE),"")</f>
        <v>ΟΑ ΑΓ ΠΑΡΑΣΚΕΥΗΣ</v>
      </c>
      <c r="J32" s="71"/>
      <c r="K32" s="15"/>
      <c r="L32" s="37"/>
      <c r="M32" s="64"/>
      <c r="N32" s="66"/>
      <c r="O32" s="49" t="str">
        <f>UPPER(IF($A$2="R",IF(OR(N32=1,N32="a"),M30,IF(OR(N32=2,N32="b"),M34,"")),IF(OR(N32=1,N32="a"),M30,IF(OR(N32=2,N32="b"),M34,""))))</f>
        <v/>
      </c>
    </row>
    <row r="33" spans="1:15" ht="12" x14ac:dyDescent="0.25">
      <c r="A33" s="163">
        <v>29</v>
      </c>
      <c r="B33" s="147">
        <v>8</v>
      </c>
      <c r="C33" s="159"/>
      <c r="D33" s="164">
        <v>10</v>
      </c>
      <c r="E33" s="164">
        <f>IF(NOT($D33=0),VLOOKUP($D33,[1]DrawPrep!$A$3:$F$66,6,FALSE),0)</f>
        <v>0</v>
      </c>
      <c r="F33" s="164">
        <f>IF([1]Setup!$B$24="#",0,IF(NOT($D33=0),VLOOKUP($D33,[1]DrawPrep!$A$3:$F$66,3,FALSE),0))</f>
        <v>29760</v>
      </c>
      <c r="G33" s="165" t="str">
        <f>IF($F33&gt;0,VLOOKUP($F33,[1]DrawPrep!$C$3:$F$66,2,FALSE),"bye")</f>
        <v>ΞΥΛΑΣ ΙΩΑΝΝΗΣ</v>
      </c>
      <c r="H33" s="166" t="str">
        <f t="shared" si="0"/>
        <v>ΞΥΛΑΣ</v>
      </c>
      <c r="I33" s="35" t="str">
        <f>IF($F33&gt;0,VLOOKUP($F33,[1]DrawPrep!$C$3:$F$66,3,FALSE),"")</f>
        <v>ΠΕΥΚΗ Γ ΚΑΛΟΒΕΛΩΝΗΣ</v>
      </c>
      <c r="J33" s="167">
        <v>1</v>
      </c>
      <c r="K33" s="49" t="str">
        <f>UPPER(IF($A$2="R",IF(OR(J33=1,J33="a"),F33,IF(OR(J33=2,J33="b"),F34,"")),IF(OR(J33=1,J33="a"),H33,IF(OR(J33=2,J33="b"),H34,""))))</f>
        <v>ΞΥΛΑΣ</v>
      </c>
      <c r="L33" s="37"/>
      <c r="M33" s="64"/>
      <c r="N33" s="37"/>
      <c r="O33" s="36"/>
    </row>
    <row r="34" spans="1:15" ht="12" x14ac:dyDescent="0.25">
      <c r="A34" s="168">
        <v>30</v>
      </c>
      <c r="B34" s="154">
        <v>57</v>
      </c>
      <c r="C34" s="155">
        <v>8</v>
      </c>
      <c r="D34" s="168"/>
      <c r="E34" s="168"/>
      <c r="F34" s="168">
        <f>IF([1]Setup!$B$24="#",0,IF(NOT($D34=0),VLOOKUP($D34,[1]DrawPrep!$A$3:$F$66,3,FALSE),0))</f>
        <v>0</v>
      </c>
      <c r="G34" s="169" t="str">
        <f>IF($F34&gt;0,VLOOKUP($F34,[1]DrawPrep!$C$3:$F$66,2,FALSE),"bye")</f>
        <v>bye</v>
      </c>
      <c r="H34" s="49" t="str">
        <f t="shared" si="0"/>
        <v/>
      </c>
      <c r="I34" s="82" t="str">
        <f>IF($F34&gt;0,VLOOKUP($F34,[1]DrawPrep!$C$3:$F$66,3,FALSE),"")</f>
        <v/>
      </c>
      <c r="J34" s="81"/>
      <c r="K34" s="58"/>
      <c r="L34" s="66"/>
      <c r="M34" s="82" t="str">
        <f>UPPER(IF($A$2="R",IF(OR(L34=1,L34="a"),K33,IF(OR(L34=2,L34="b"),K35,"")),IF(OR(L34=1,L34="a"),K33,IF(OR(L34=2,L34="b"),K35,""))))</f>
        <v/>
      </c>
      <c r="N34" s="6"/>
      <c r="O34" s="36" t="str">
        <f>UPPER(IF($A$2="R",IF(OR(N34=1,N34="a"),M33,IF(OR(N34=2,N34="b"),M35,"")),IF(OR(N34=1,N34="a"),M33,IF(OR(N34=2,N34="b"),M35,""))))</f>
        <v/>
      </c>
    </row>
    <row r="35" spans="1:15" ht="11.4" x14ac:dyDescent="0.25">
      <c r="A35" s="163">
        <v>31</v>
      </c>
      <c r="B35" s="154">
        <v>41</v>
      </c>
      <c r="C35" s="170">
        <v>24</v>
      </c>
      <c r="D35" s="163">
        <v>38</v>
      </c>
      <c r="E35" s="163">
        <f>IF(NOT($D35=0),VLOOKUP($D35,[1]DrawPrep!$A$3:$F$66,6,FALSE),0)</f>
        <v>0</v>
      </c>
      <c r="F35" s="163">
        <f>IF([1]Setup!$B$24="#",0,IF(NOT($D35=0),VLOOKUP($D35,[1]DrawPrep!$A$3:$F$66,3,FALSE),0))</f>
        <v>30312</v>
      </c>
      <c r="G35" s="171" t="str">
        <f>IF($F35&gt;0,VLOOKUP($F35,[1]DrawPrep!$C$3:$F$66,2,FALSE),"bye")</f>
        <v>ΜΕΝΕΞΕΛΗΣ ΟΔΥΣΣΕΑΣ</v>
      </c>
      <c r="H35" s="55" t="str">
        <f t="shared" si="0"/>
        <v>ΜΕΝΕΞΕΛΗΣ</v>
      </c>
      <c r="I35" s="57" t="str">
        <f>IF($F35&gt;0,VLOOKUP($F35,[1]DrawPrep!$C$3:$F$66,3,FALSE),"")</f>
        <v>ΠΕΥΚΗ Γ ΚΑΛΟΒΕΛΩΝΗΣ</v>
      </c>
      <c r="J35" s="66"/>
      <c r="K35" s="49" t="str">
        <f>UPPER(IF($A$2="R",IF(OR(J35=1,J35="a"),F35,IF(OR(J35=2,J35="b"),F36,"")),IF(OR(J35=1,J35="a"),H35,IF(OR(J35=2,J35="b"),H36,""))))</f>
        <v/>
      </c>
      <c r="L35" s="81"/>
      <c r="M35" s="172"/>
      <c r="N35" s="6"/>
      <c r="O35" s="38"/>
    </row>
    <row r="36" spans="1:15" ht="11.4" x14ac:dyDescent="0.25">
      <c r="A36" s="168">
        <v>32</v>
      </c>
      <c r="B36" s="154">
        <v>25</v>
      </c>
      <c r="C36" s="159"/>
      <c r="D36" s="168">
        <v>19</v>
      </c>
      <c r="E36" s="168">
        <f>IF(NOT($D36=0),VLOOKUP($D36,[1]DrawPrep!$A$3:$F$66,6,FALSE),0)</f>
        <v>0</v>
      </c>
      <c r="F36" s="168">
        <f>IF([1]Setup!$B$24="#",0,IF(NOT($D36=0),VLOOKUP($D36,[1]DrawPrep!$A$3:$F$66,3,FALSE),0))</f>
        <v>16767</v>
      </c>
      <c r="G36" s="169" t="str">
        <f>IF($F36&gt;0,VLOOKUP($F36,[1]DrawPrep!$C$3:$F$66,2,FALSE),"bye")</f>
        <v>ΒΛΑΒΙΑΝΟΣ ΙΑΣΩΝ</v>
      </c>
      <c r="H36" s="49" t="str">
        <f t="shared" si="0"/>
        <v>ΒΛΑΒΙΑΝΟΣ</v>
      </c>
      <c r="I36" s="82" t="str">
        <f>IF($F36&gt;0,VLOOKUP($F36,[1]DrawPrep!$C$3:$F$66,3,FALSE),"")</f>
        <v>ΑΟΑ ΠΑΠΑΓΟΥ</v>
      </c>
      <c r="J36" s="81"/>
      <c r="K36" s="15"/>
      <c r="L36" s="39"/>
      <c r="M36" s="36"/>
      <c r="N36" s="37"/>
      <c r="O36" s="36"/>
    </row>
    <row r="37" spans="1:15" ht="12" x14ac:dyDescent="0.25">
      <c r="A37" s="145">
        <v>33</v>
      </c>
      <c r="B37" s="147">
        <v>9</v>
      </c>
      <c r="C37" s="159"/>
      <c r="D37" s="148">
        <v>5</v>
      </c>
      <c r="E37" s="148">
        <f>IF(NOT($D37=0),VLOOKUP($D37,[1]DrawPrep!$A$3:$F$66,6,FALSE),0)</f>
        <v>0.65</v>
      </c>
      <c r="F37" s="148">
        <f>IF([1]Setup!$B$24="#",0,IF(NOT($D37=0),VLOOKUP($D37,[1]DrawPrep!$A$3:$F$66,3,FALSE),0))</f>
        <v>32212</v>
      </c>
      <c r="G37" s="149" t="str">
        <f>IF($F37&gt;0,VLOOKUP($F37,[1]DrawPrep!$C$3:$F$66,2,FALSE),"bye")</f>
        <v>ΡΑΠΤΗΣ ΚΩΝΣΤΑΝΤΙΝΟΣ</v>
      </c>
      <c r="H37" s="150" t="str">
        <f t="shared" si="0"/>
        <v>ΡΑΠΤΗΣ</v>
      </c>
      <c r="I37" s="151" t="str">
        <f>IF($F37&gt;0,VLOOKUP($F37,[1]DrawPrep!$C$3:$F$66,3,FALSE),"")</f>
        <v>ΣΑ ΡΑΦΗΝΑΣ</v>
      </c>
      <c r="J37" s="66">
        <v>1</v>
      </c>
      <c r="K37" s="49" t="str">
        <f>UPPER(IF($A$2="R",IF(OR(J37=1,J37="a"),F37,IF(OR(J37=2,J37="b"),F38,"")),IF(OR(J37=1,J37="1"),H37,IF(OR(J37=2,J37="b"),H38,""))))</f>
        <v>ΡΑΠΤΗΣ</v>
      </c>
      <c r="L37" s="37"/>
      <c r="M37" s="36"/>
      <c r="N37" s="37"/>
      <c r="O37" s="36"/>
    </row>
    <row r="38" spans="1:15" ht="12" x14ac:dyDescent="0.25">
      <c r="A38" s="153">
        <v>34</v>
      </c>
      <c r="B38" s="154">
        <v>56</v>
      </c>
      <c r="C38" s="155">
        <v>9</v>
      </c>
      <c r="D38" s="153">
        <f>VLOOKUP($B38,[1]Setup!$M$4:$N$67,2,FALSE)</f>
        <v>0</v>
      </c>
      <c r="E38" s="153">
        <f>IF(NOT($D38=0),VLOOKUP($D38,[1]DrawPrep!$A$3:$F$66,6,FALSE),0)</f>
        <v>0</v>
      </c>
      <c r="F38" s="153">
        <f>IF([1]Setup!$B$24="#",0,IF(NOT($D38=0),VLOOKUP($D38,[1]DrawPrep!$A$3:$F$66,3,FALSE),0))</f>
        <v>0</v>
      </c>
      <c r="G38" s="156" t="str">
        <f>IF($F38&gt;0,VLOOKUP($F38,[1]DrawPrep!$C$3:$F$66,2,FALSE),"bye")</f>
        <v>bye</v>
      </c>
      <c r="H38" s="157" t="str">
        <f t="shared" si="0"/>
        <v/>
      </c>
      <c r="I38" s="158" t="str">
        <f>IF($F38&gt;0,VLOOKUP($F38,[1]DrawPrep!$C$3:$F$66,3,FALSE),"")</f>
        <v/>
      </c>
      <c r="J38" s="81"/>
      <c r="K38" s="58"/>
      <c r="L38" s="66"/>
      <c r="M38" s="49" t="str">
        <f>UPPER(IF($A$2="R",IF(OR(L38=1,L38="a"),K37,IF(OR(L38=2,L38="b"),K39,"")),IF(OR(L38=1,L38="a"),K37,IF(OR(L38=2,L38="b"),K39,""))))</f>
        <v/>
      </c>
      <c r="N38" s="6"/>
      <c r="O38" s="36" t="str">
        <f>UPPER(IF($A$2="R",IF(OR(N38=1,N38="a"),M37,IF(OR(N38=2,N38="b"),M39,"")),IF(OR(N38=1,N38="a"),M37,IF(OR(N38=2,N38="b"),M39,""))))</f>
        <v/>
      </c>
    </row>
    <row r="39" spans="1:15" ht="11.4" x14ac:dyDescent="0.25">
      <c r="A39" s="145">
        <v>35</v>
      </c>
      <c r="B39" s="154">
        <v>40</v>
      </c>
      <c r="C39" s="159">
        <v>25</v>
      </c>
      <c r="D39" s="145">
        <f>VLOOKUP($B39,[1]Setup!$M$4:$N$67,2,FALSE)</f>
        <v>0</v>
      </c>
      <c r="E39" s="145">
        <f>IF(NOT($D39=0),VLOOKUP($D39,[1]DrawPrep!$A$3:$F$66,6,FALSE),0)</f>
        <v>0</v>
      </c>
      <c r="F39" s="145">
        <f>IF([1]Setup!$B$24="#",0,IF(NOT($D39=0),VLOOKUP($D39,[1]DrawPrep!$A$3:$F$66,3,FALSE),0))</f>
        <v>0</v>
      </c>
      <c r="G39" s="160" t="str">
        <f>IF($F39&gt;0,VLOOKUP($F39,[1]DrawPrep!$C$3:$F$66,2,FALSE),"bye")</f>
        <v>bye</v>
      </c>
      <c r="H39" s="161" t="str">
        <f t="shared" si="0"/>
        <v/>
      </c>
      <c r="I39" s="162" t="str">
        <f>IF($F39&gt;0,VLOOKUP($F39,[1]DrawPrep!$C$3:$F$66,3,FALSE),"")</f>
        <v/>
      </c>
      <c r="J39" s="66">
        <v>2</v>
      </c>
      <c r="K39" s="49" t="str">
        <f>UPPER(IF($A$2="R",IF(OR(J39=1,J39="a"),F39,IF(OR(J39=2,J39="b"),F40,"")),IF(OR(J39=1,J39="a"),H39,IF(OR(J39=2,J39="b"),H40,""))))</f>
        <v>ΖΑΒΟΛΕΑΣ</v>
      </c>
      <c r="L39" s="81"/>
      <c r="M39" s="58"/>
      <c r="N39" s="6"/>
      <c r="O39" s="38"/>
    </row>
    <row r="40" spans="1:15" ht="11.4" x14ac:dyDescent="0.25">
      <c r="A40" s="153">
        <v>36</v>
      </c>
      <c r="B40" s="154">
        <v>24</v>
      </c>
      <c r="C40" s="159"/>
      <c r="D40" s="153">
        <v>30</v>
      </c>
      <c r="E40" s="153">
        <f>IF(NOT($D40=0),VLOOKUP($D40,[1]DrawPrep!$A$3:$F$66,6,FALSE),0)</f>
        <v>0</v>
      </c>
      <c r="F40" s="153">
        <f>IF([1]Setup!$B$24="#",0,IF(NOT($D40=0),VLOOKUP($D40,[1]DrawPrep!$A$3:$F$66,3,FALSE),0))</f>
        <v>3115</v>
      </c>
      <c r="G40" s="156" t="str">
        <f>IF($F40&gt;0,VLOOKUP($F40,[1]DrawPrep!$C$3:$F$66,2,FALSE),"bye")</f>
        <v>ΖΑΒΟΛΕΑΣ ΓΕΩΡΓΙΟΣ</v>
      </c>
      <c r="H40" s="157" t="str">
        <f t="shared" si="0"/>
        <v>ΖΑΒΟΛΕΑΣ</v>
      </c>
      <c r="I40" s="158" t="str">
        <f>IF($F40&gt;0,VLOOKUP($F40,[1]DrawPrep!$C$3:$F$66,3,FALSE),"")</f>
        <v>ΓΣ ΚΗΦΙΣΙΑΣ</v>
      </c>
      <c r="J40" s="81"/>
      <c r="K40" s="15"/>
      <c r="L40" s="37"/>
      <c r="M40" s="64"/>
      <c r="N40" s="66"/>
      <c r="O40" s="49" t="str">
        <f>UPPER(IF($A$2="R",IF(OR(N40=1,N40="a"),M38,IF(OR(N40=2,N40="b"),M42,"")),IF(OR(N40=1,N40="a"),M38,IF(OR(N40=2,N40="b"),M42,""))))</f>
        <v/>
      </c>
    </row>
    <row r="41" spans="1:15" ht="12" x14ac:dyDescent="0.25">
      <c r="A41" s="163">
        <v>37</v>
      </c>
      <c r="B41" s="147">
        <v>10</v>
      </c>
      <c r="C41" s="159"/>
      <c r="D41" s="164">
        <v>13</v>
      </c>
      <c r="E41" s="164">
        <f>IF(NOT($D41=0),VLOOKUP($D41,[1]DrawPrep!$A$3:$F$66,6,FALSE),0)</f>
        <v>0</v>
      </c>
      <c r="F41" s="164">
        <f>IF([1]Setup!$B$24="#",0,IF(NOT($D41=0),VLOOKUP($D41,[1]DrawPrep!$A$3:$F$66,3,FALSE),0))</f>
        <v>2459</v>
      </c>
      <c r="G41" s="165" t="str">
        <f>IF($F41&gt;0,VLOOKUP($F41,[1]DrawPrep!$C$3:$F$66,2,FALSE),"bye")</f>
        <v>ΠΟΛΥΔΑΚΗΣ ΓΙΩΡΓΟΣ</v>
      </c>
      <c r="H41" s="166" t="str">
        <f t="shared" si="0"/>
        <v>ΠΟΛΥΔΑΚΗΣ</v>
      </c>
      <c r="I41" s="35" t="str">
        <f>IF($F41&gt;0,VLOOKUP($F41,[1]DrawPrep!$C$3:$F$66,3,FALSE),"")</f>
        <v>ΑΟΑ ΦΙΛΟΘΕΗΣ</v>
      </c>
      <c r="J41" s="167"/>
      <c r="K41" s="49" t="str">
        <f>UPPER(IF($A$2="R",IF(OR(J41=1,J41="a"),F41,IF(OR(J41=2,J41="b"),F42,"")),IF(OR(J41=1,J41="a"),H41,IF(OR(J41=2,J41="b"),H42,""))))</f>
        <v/>
      </c>
      <c r="L41" s="37"/>
      <c r="M41" s="64"/>
      <c r="N41" s="37"/>
      <c r="O41" s="36"/>
    </row>
    <row r="42" spans="1:15" ht="12" x14ac:dyDescent="0.25">
      <c r="A42" s="168">
        <v>38</v>
      </c>
      <c r="B42" s="154">
        <v>55</v>
      </c>
      <c r="C42" s="155">
        <v>10</v>
      </c>
      <c r="D42" s="168">
        <v>28</v>
      </c>
      <c r="E42" s="168">
        <f>IF(NOT($D42=0),VLOOKUP($D42,[1]DrawPrep!$A$3:$F$66,6,FALSE),0)</f>
        <v>0</v>
      </c>
      <c r="F42" s="168">
        <f>IF([1]Setup!$B$24="#",0,IF(NOT($D42=0),VLOOKUP($D42,[1]DrawPrep!$A$3:$F$66,3,FALSE),0))</f>
        <v>26317</v>
      </c>
      <c r="G42" s="169" t="str">
        <f>IF($F42&gt;0,VLOOKUP($F42,[1]DrawPrep!$C$3:$F$66,2,FALSE),"bye")</f>
        <v>ΚΩΣΤΑΡΑΣ ΠΑΝΑΓΙΩΤΗΣ</v>
      </c>
      <c r="H42" s="49" t="str">
        <f t="shared" si="0"/>
        <v>ΚΩΣΤΑΡΑΣ</v>
      </c>
      <c r="I42" s="82" t="str">
        <f>IF($F42&gt;0,VLOOKUP($F42,[1]DrawPrep!$C$3:$F$66,3,FALSE),"")</f>
        <v>ΟΑ ΠΕΤΡΟΥΠΟΛΗΣ</v>
      </c>
      <c r="J42" s="81"/>
      <c r="K42" s="58"/>
      <c r="L42" s="66"/>
      <c r="M42" s="82" t="str">
        <f>UPPER(IF($A$2="R",IF(OR(L42=1,L42="a"),K41,IF(OR(L42=2,L42="b"),K43,"")),IF(OR(L42=1,L42="a"),K41,IF(OR(L42=2,L42="b"),K43,""))))</f>
        <v/>
      </c>
      <c r="N42" s="6"/>
      <c r="O42" s="36" t="str">
        <f>UPPER(IF($A$2="R",IF(OR(N42=1,N42="a"),M41,IF(OR(N42=2,N42="b"),M43,"")),IF(OR(N42=1,N42="a"),M41,IF(OR(N42=2,N42="b"),M43,""))))</f>
        <v/>
      </c>
    </row>
    <row r="43" spans="1:15" ht="11.4" x14ac:dyDescent="0.25">
      <c r="A43" s="163">
        <v>39</v>
      </c>
      <c r="B43" s="154">
        <v>39</v>
      </c>
      <c r="C43" s="170">
        <v>26</v>
      </c>
      <c r="D43" s="163">
        <v>18</v>
      </c>
      <c r="E43" s="163">
        <f>IF(NOT($D43=0),VLOOKUP($D43,[1]DrawPrep!$A$3:$F$66,6,FALSE),0)</f>
        <v>0</v>
      </c>
      <c r="F43" s="163">
        <f>IF([1]Setup!$B$24="#",0,IF(NOT($D43=0),VLOOKUP($D43,[1]DrawPrep!$A$3:$F$66,3,FALSE),0))</f>
        <v>13819</v>
      </c>
      <c r="G43" s="171" t="str">
        <f>IF($F43&gt;0,VLOOKUP($F43,[1]DrawPrep!$C$3:$F$66,2,FALSE),"bye")</f>
        <v>ΚΟΡΜΑΝΙΩΤΗΣ ΣΠΥΡΟΣ-ΑΛΕΞΑΝΔΡΟΣ</v>
      </c>
      <c r="H43" s="55" t="str">
        <f t="shared" si="0"/>
        <v>ΚΟΡΜΑΝΙΩΤΗΣ</v>
      </c>
      <c r="I43" s="57" t="str">
        <f>IF($F43&gt;0,VLOOKUP($F43,[1]DrawPrep!$C$3:$F$66,3,FALSE),"")</f>
        <v>ΣΑ ΓΑΛΑΤΣΙΟΥ</v>
      </c>
      <c r="J43" s="66">
        <v>1</v>
      </c>
      <c r="K43" s="49" t="str">
        <f>UPPER(IF($A$2="R",IF(OR(J43=1,J43="a"),F43,IF(OR(J43=2,J43="b"),F44,"")),IF(OR(J43=1,J43="a"),H43,IF(OR(J43=2,J43="b"),H44,""))))</f>
        <v>ΚΟΡΜΑΝΙΩΤΗΣ</v>
      </c>
      <c r="L43" s="81"/>
      <c r="M43" s="172"/>
      <c r="N43" s="6"/>
      <c r="O43" s="38"/>
    </row>
    <row r="44" spans="1:15" ht="11.4" x14ac:dyDescent="0.25">
      <c r="A44" s="168">
        <v>40</v>
      </c>
      <c r="B44" s="154">
        <v>23</v>
      </c>
      <c r="C44" s="159"/>
      <c r="D44" s="168"/>
      <c r="E44" s="168">
        <f>IF(NOT($D44=0),VLOOKUP($D44,[1]DrawPrep!$A$3:$F$66,6,FALSE),0)</f>
        <v>0</v>
      </c>
      <c r="F44" s="168">
        <f>IF([1]Setup!$B$24="#",0,IF(NOT($D44=0),VLOOKUP($D44,[1]DrawPrep!$A$3:$F$66,3,FALSE),0))</f>
        <v>0</v>
      </c>
      <c r="G44" s="169" t="str">
        <f>IF($F44&gt;0,VLOOKUP($F44,[1]DrawPrep!$C$3:$F$66,2,FALSE),"bye")</f>
        <v>bye</v>
      </c>
      <c r="H44" s="49" t="str">
        <f t="shared" si="0"/>
        <v/>
      </c>
      <c r="I44" s="82" t="str">
        <f>IF($F44&gt;0,VLOOKUP($F44,[1]DrawPrep!$C$3:$F$66,3,FALSE),"")</f>
        <v/>
      </c>
      <c r="J44" s="81"/>
      <c r="K44" s="172"/>
      <c r="L44" s="39"/>
      <c r="M44" s="36"/>
      <c r="N44" s="37"/>
      <c r="O44" s="36"/>
    </row>
    <row r="45" spans="1:15" ht="12" x14ac:dyDescent="0.25">
      <c r="A45" s="173">
        <v>41</v>
      </c>
      <c r="B45" s="147">
        <v>11</v>
      </c>
      <c r="C45" s="159"/>
      <c r="D45" s="174">
        <v>6</v>
      </c>
      <c r="E45" s="174">
        <f>IF(NOT($D45=0),VLOOKUP($D45,[1]DrawPrep!$A$3:$F$66,6,FALSE),0)</f>
        <v>0.1</v>
      </c>
      <c r="F45" s="174">
        <f>IF([1]Setup!$B$24="#",0,IF(NOT($D45=0),VLOOKUP($D45,[1]DrawPrep!$A$3:$F$66,3,FALSE),0))</f>
        <v>16369</v>
      </c>
      <c r="G45" s="175" t="str">
        <f>IF($F45&gt;0,VLOOKUP($F45,[1]DrawPrep!$C$3:$F$66,2,FALSE),"bye")</f>
        <v>ΜΠΙΣΜΠΙΚΟΣ ΠΙΕΡ</v>
      </c>
      <c r="H45" s="176" t="str">
        <f t="shared" si="0"/>
        <v>ΜΠΙΣΜΠΙΚΟΣ</v>
      </c>
      <c r="I45" s="177" t="str">
        <f>IF($F45&gt;0,VLOOKUP($F45,[1]DrawPrep!$C$3:$F$66,3,FALSE),"")</f>
        <v>ΟΑ ΑΓ ΠΑΡΑΣΚΕΥΗΣ</v>
      </c>
      <c r="J45" s="66">
        <v>1</v>
      </c>
      <c r="K45" s="49" t="str">
        <f>UPPER(IF($A$2="R",IF(OR(J45=1,J45="a"),F45,IF(OR(J45=2,J45="b"),F46,"")),IF(OR(J45=1,J45="a"),H45,IF(OR(J45=2,J45="b"),H46,""))))</f>
        <v>ΜΠΙΣΜΠΙΚΟΣ</v>
      </c>
      <c r="L45" s="37"/>
      <c r="M45" s="36"/>
      <c r="N45" s="37"/>
      <c r="O45" s="36"/>
    </row>
    <row r="46" spans="1:15" ht="12" x14ac:dyDescent="0.25">
      <c r="A46" s="173">
        <v>42</v>
      </c>
      <c r="B46" s="154">
        <v>54</v>
      </c>
      <c r="C46" s="155">
        <v>11</v>
      </c>
      <c r="D46" s="173">
        <f>VLOOKUP($B46,[1]Setup!$M$4:$N$67,2,FALSE)</f>
        <v>0</v>
      </c>
      <c r="E46" s="173">
        <f>IF(NOT($D46=0),VLOOKUP($D46,[1]DrawPrep!$A$3:$F$66,6,FALSE),0)</f>
        <v>0</v>
      </c>
      <c r="F46" s="173">
        <f>IF([1]Setup!$B$24="#",0,IF(NOT($D46=0),VLOOKUP($D46,[1]DrawPrep!$A$3:$F$66,3,FALSE),0))</f>
        <v>0</v>
      </c>
      <c r="G46" s="178" t="str">
        <f>IF($F46&gt;0,VLOOKUP($F46,[1]DrawPrep!$C$3:$F$66,2,FALSE),"bye")</f>
        <v>bye</v>
      </c>
      <c r="H46" s="179" t="str">
        <f t="shared" si="0"/>
        <v/>
      </c>
      <c r="I46" s="180" t="str">
        <f>IF($F46&gt;0,VLOOKUP($F46,[1]DrawPrep!$C$3:$F$66,3,FALSE),"")</f>
        <v/>
      </c>
      <c r="J46" s="81"/>
      <c r="K46" s="58"/>
      <c r="L46" s="66"/>
      <c r="M46" s="49" t="str">
        <f>UPPER(IF($A$2="R",IF(OR(L46=1,L46="a"),K45,IF(OR(L46=2,L46="b"),K47,"")),IF(OR(L46=1,L46="a"),K45,IF(OR(L46=2,L46="b"),K47,""))))</f>
        <v/>
      </c>
      <c r="N46" s="6"/>
      <c r="O46" s="36" t="str">
        <f>UPPER(IF($A$2="R",IF(OR(N46=1,N46="a"),M45,IF(OR(N46=2,N46="b"),M47,"")),IF(OR(N46=1,N46="a"),M45,IF(OR(N46=2,N46="b"),M47,""))))</f>
        <v/>
      </c>
    </row>
    <row r="47" spans="1:15" ht="11.4" x14ac:dyDescent="0.25">
      <c r="A47" s="145">
        <v>43</v>
      </c>
      <c r="B47" s="154">
        <v>38</v>
      </c>
      <c r="C47" s="159">
        <v>27</v>
      </c>
      <c r="D47" s="145">
        <f>VLOOKUP($B47,[1]Setup!$M$4:$N$67,2,FALSE)</f>
        <v>36</v>
      </c>
      <c r="E47" s="145">
        <f>IF(NOT($D47=0),VLOOKUP($D47,[1]DrawPrep!$A$3:$F$66,6,FALSE),0)</f>
        <v>0</v>
      </c>
      <c r="F47" s="145">
        <f>IF([1]Setup!$B$24="#",0,IF(NOT($D47=0),VLOOKUP($D47,[1]DrawPrep!$A$3:$F$66,3,FALSE),0))</f>
        <v>7243</v>
      </c>
      <c r="G47" s="160" t="str">
        <f>IF($F47&gt;0,VLOOKUP($F47,[1]DrawPrep!$C$3:$F$66,2,FALSE),"bye")</f>
        <v>ΠΑΠΑΧΡΙΣΤΟΠΟΥΛΟΣ ΦΙΛΙΠΠΑΣ</v>
      </c>
      <c r="H47" s="161" t="str">
        <f t="shared" si="0"/>
        <v>ΠΑΠΑΧΡΙΣΤΟΠΟΥΛΟΣ</v>
      </c>
      <c r="I47" s="162" t="str">
        <f>IF($F47&gt;0,VLOOKUP($F47,[1]DrawPrep!$C$3:$F$66,3,FALSE),"")</f>
        <v>ΑΟΑ ΦΙΛΟΘΕΗΣ</v>
      </c>
      <c r="J47" s="66"/>
      <c r="K47" s="49" t="str">
        <f>UPPER(IF($A$2="R",IF(OR(J47=1,J47="a"),F47,IF(OR(J47=2,J47="b"),F48,"")),IF(OR(J47=1,J47="a"),H47,IF(OR(J47=2,J47="b"),H48,""))))</f>
        <v/>
      </c>
      <c r="L47" s="81"/>
      <c r="M47" s="58"/>
      <c r="N47" s="6"/>
      <c r="O47" s="38"/>
    </row>
    <row r="48" spans="1:15" ht="11.4" x14ac:dyDescent="0.25">
      <c r="A48" s="153">
        <v>44</v>
      </c>
      <c r="B48" s="154">
        <v>22</v>
      </c>
      <c r="C48" s="159"/>
      <c r="D48" s="153">
        <v>39</v>
      </c>
      <c r="E48" s="153">
        <f>IF(NOT($D48=0),VLOOKUP($D48,[1]DrawPrep!$A$3:$F$66,6,FALSE),0)</f>
        <v>0</v>
      </c>
      <c r="F48" s="153">
        <f>IF([1]Setup!$B$24="#",0,IF(NOT($D48=0),VLOOKUP($D48,[1]DrawPrep!$A$3:$F$66,3,FALSE),0))</f>
        <v>10419</v>
      </c>
      <c r="G48" s="156" t="str">
        <f>IF($F48&gt;0,VLOOKUP($F48,[1]DrawPrep!$C$3:$F$66,2,FALSE),"bye")</f>
        <v>ΣΕΛΕΠΕΣ ΦΡΑΓΚΙΣΚΟΣ</v>
      </c>
      <c r="H48" s="157" t="str">
        <f t="shared" si="0"/>
        <v>ΣΕΛΕΠΕΣ</v>
      </c>
      <c r="I48" s="158" t="str">
        <f>IF($F48&gt;0,VLOOKUP($F48,[1]DrawPrep!$C$3:$F$66,3,FALSE),"")</f>
        <v>ΑΝΟ ΓΛΥΦΑΔΑΣ</v>
      </c>
      <c r="J48" s="71"/>
      <c r="K48" s="172"/>
      <c r="L48" s="37"/>
      <c r="M48" s="64"/>
      <c r="N48" s="66"/>
      <c r="O48" s="49" t="str">
        <f>UPPER(IF($A$2="R",IF(OR(N48=1,N48="a"),M46,IF(OR(N48=2,N48="b"),M50,"")),IF(OR(N48=1,N48="a"),M46,IF(OR(N48=2,N48="b"),M50,""))))</f>
        <v/>
      </c>
    </row>
    <row r="49" spans="1:15" ht="12" x14ac:dyDescent="0.25">
      <c r="A49" s="129">
        <v>45</v>
      </c>
      <c r="B49" s="147">
        <v>12</v>
      </c>
      <c r="C49" s="159"/>
      <c r="D49" s="181">
        <v>11</v>
      </c>
      <c r="E49" s="181"/>
      <c r="F49" s="181">
        <f>IF([1]Setup!$B$24="#",0,IF(NOT($D49=0),VLOOKUP($D49,[1]DrawPrep!$A$3:$F$66,3,FALSE),0))</f>
        <v>16210</v>
      </c>
      <c r="G49" s="182" t="str">
        <f>IF($F49&gt;0,VLOOKUP($F49,[1]DrawPrep!$C$3:$F$66,2,FALSE),"bye")</f>
        <v>ΠΟΛΙΤΗΣ ΒΕΝΕΔΙΚΤΟΣ</v>
      </c>
      <c r="H49" s="183" t="str">
        <f t="shared" si="0"/>
        <v>ΠΟΛΙΤΗΣ</v>
      </c>
      <c r="I49" s="47" t="str">
        <f>IF($F49&gt;0,VLOOKUP($F49,[1]DrawPrep!$C$3:$F$66,3,FALSE),"")</f>
        <v>ΟΑ ΣΥΡΟΥ</v>
      </c>
      <c r="J49" s="66">
        <v>1</v>
      </c>
      <c r="K49" s="49" t="str">
        <f>UPPER(IF($A$2="R",IF(OR(J49=1,J49="a"),F49,IF(OR(J49=2,J49="b"),F50,"")),IF(OR(J49=1,J49="a"),H49,IF(OR(J49=2,J49="b"),H50,""))))</f>
        <v>ΠΟΛΙΤΗΣ</v>
      </c>
      <c r="L49" s="37"/>
      <c r="M49" s="64"/>
      <c r="N49" s="37"/>
      <c r="O49" s="36"/>
    </row>
    <row r="50" spans="1:15" ht="12" x14ac:dyDescent="0.25">
      <c r="A50" s="129">
        <v>46</v>
      </c>
      <c r="B50" s="154">
        <v>53</v>
      </c>
      <c r="C50" s="155">
        <v>12</v>
      </c>
      <c r="D50" s="129">
        <f>VLOOKUP($B50,[1]Setup!$M$4:$N$67,2,FALSE)</f>
        <v>0</v>
      </c>
      <c r="E50" s="129">
        <f>IF(NOT($D50=0),VLOOKUP($D50,[1]DrawPrep!$A$3:$F$66,6,FALSE),0)</f>
        <v>0</v>
      </c>
      <c r="F50" s="129">
        <f>IF([1]Setup!$B$24="#",0,IF(NOT($D50=0),VLOOKUP($D50,[1]DrawPrep!$A$3:$F$66,3,FALSE),0))</f>
        <v>0</v>
      </c>
      <c r="G50" s="185" t="str">
        <f>IF($F50&gt;0,VLOOKUP($F50,[1]DrawPrep!$C$3:$F$66,2,FALSE),"bye")</f>
        <v>bye</v>
      </c>
      <c r="H50" s="36" t="str">
        <f t="shared" si="0"/>
        <v/>
      </c>
      <c r="I50" s="64" t="str">
        <f>IF($F50&gt;0,VLOOKUP($F50,[1]DrawPrep!$C$3:$F$66,3,FALSE),"")</f>
        <v/>
      </c>
      <c r="J50" s="81"/>
      <c r="K50" s="58"/>
      <c r="L50" s="66"/>
      <c r="M50" s="82" t="str">
        <f>UPPER(IF($A$2="R",IF(OR(L50=1,L50="a"),K49,IF(OR(L50=2,L50="b"),K51,"")),IF(OR(L50=1,L50="a"),K49,IF(OR(L50=2,L50="b"),K51,""))))</f>
        <v/>
      </c>
      <c r="N50" s="6"/>
      <c r="O50" s="36" t="str">
        <f>UPPER(IF($A$2="R",IF(OR(N50=1,N50="a"),M49,IF(OR(N50=2,N50="b"),M51,"")),IF(OR(N50=1,N50="a"),M49,IF(OR(N50=2,N50="b"),M51,""))))</f>
        <v/>
      </c>
    </row>
    <row r="51" spans="1:15" ht="11.4" x14ac:dyDescent="0.25">
      <c r="A51" s="163">
        <v>47</v>
      </c>
      <c r="B51" s="154">
        <v>37</v>
      </c>
      <c r="C51" s="170">
        <v>28</v>
      </c>
      <c r="D51" s="163">
        <f>VLOOKUP($B51,[1]Setup!$M$4:$N$67,2,FALSE)</f>
        <v>33</v>
      </c>
      <c r="E51" s="163">
        <f>IF(NOT($D51=0),VLOOKUP($D51,[1]DrawPrep!$A$3:$F$66,6,FALSE),0)</f>
        <v>0</v>
      </c>
      <c r="F51" s="163">
        <f>IF([1]Setup!$B$24="#",0,IF(NOT($D51=0),VLOOKUP($D51,[1]DrawPrep!$A$3:$F$66,3,FALSE),0))</f>
        <v>1538</v>
      </c>
      <c r="G51" s="171" t="str">
        <f>IF($F51&gt;0,VLOOKUP($F51,[1]DrawPrep!$C$3:$F$66,2,FALSE),"bye")</f>
        <v>ΣΚΑΡΛΑΤΙΔΗΣ ΑΛΕΞΑΝΔΡΟΣ-ΔΗΜΗΤΡΙΟΣ</v>
      </c>
      <c r="H51" s="55" t="str">
        <f t="shared" si="0"/>
        <v>ΣΚΑΡΛΑΤΙΔΗΣ</v>
      </c>
      <c r="I51" s="57" t="str">
        <f>IF($F51&gt;0,VLOOKUP($F51,[1]DrawPrep!$C$3:$F$66,3,FALSE),"")</f>
        <v>ΑΟ ΚΗΦΙΣΙΑΣ</v>
      </c>
      <c r="J51" s="66">
        <v>1</v>
      </c>
      <c r="K51" s="49" t="str">
        <f>UPPER(IF($A$2="R",IF(OR(J51=1,J51="a"),F51,IF(OR(J51=2,J51="b"),F52,"")),IF(OR(J51=1,J51="a"),H51,IF(OR(J51=2,J51="b"),H52,""))))</f>
        <v>ΣΚΑΡΛΑΤΙΔΗΣ</v>
      </c>
      <c r="L51" s="81"/>
      <c r="M51" s="172"/>
      <c r="N51" s="6"/>
      <c r="O51" s="38"/>
    </row>
    <row r="52" spans="1:15" ht="11.4" x14ac:dyDescent="0.25">
      <c r="A52" s="168">
        <v>48</v>
      </c>
      <c r="B52" s="154">
        <v>21</v>
      </c>
      <c r="C52" s="159"/>
      <c r="D52" s="168"/>
      <c r="E52" s="168">
        <f>IF(NOT($D52=0),VLOOKUP($D52,[1]DrawPrep!$A$3:$F$66,6,FALSE),0)</f>
        <v>0</v>
      </c>
      <c r="F52" s="168">
        <f>IF([1]Setup!$B$24="#",0,IF(NOT($D52=0),VLOOKUP($D52,[1]DrawPrep!$A$3:$F$66,3,FALSE),0))</f>
        <v>0</v>
      </c>
      <c r="G52" s="169" t="str">
        <f>IF($F52&gt;0,VLOOKUP($F52,[1]DrawPrep!$C$3:$F$66,2,FALSE),"bye")</f>
        <v>bye</v>
      </c>
      <c r="H52" s="49" t="str">
        <f t="shared" si="0"/>
        <v/>
      </c>
      <c r="I52" s="82" t="str">
        <f>IF($F52&gt;0,VLOOKUP($F52,[1]DrawPrep!$C$3:$F$66,3,FALSE),"")</f>
        <v/>
      </c>
      <c r="J52" s="81"/>
      <c r="K52" s="172"/>
      <c r="L52" s="37"/>
      <c r="M52" s="36"/>
      <c r="N52" s="37"/>
      <c r="O52" s="36"/>
    </row>
    <row r="53" spans="1:15" ht="12" x14ac:dyDescent="0.25">
      <c r="A53" s="173">
        <v>49</v>
      </c>
      <c r="B53" s="147">
        <v>13</v>
      </c>
      <c r="C53" s="159"/>
      <c r="D53" s="174">
        <v>7</v>
      </c>
      <c r="E53" s="174">
        <f>IF(NOT($D53=0),VLOOKUP($D53,[1]DrawPrep!$A$3:$F$66,6,FALSE),0)</f>
        <v>0.1</v>
      </c>
      <c r="F53" s="174">
        <f>IF([1]Setup!$B$24="#",0,IF(NOT($D53=0),VLOOKUP($D53,[1]DrawPrep!$A$3:$F$66,3,FALSE),0))</f>
        <v>10902</v>
      </c>
      <c r="G53" s="175" t="str">
        <f>IF($F53&gt;0,VLOOKUP($F53,[1]DrawPrep!$C$3:$F$66,2,FALSE),"bye")</f>
        <v>ΧΑΜΑΜΗΣ ΝΙΚΟΛΑΟΣ</v>
      </c>
      <c r="H53" s="176" t="str">
        <f t="shared" si="0"/>
        <v>ΧΑΜΑΜΗΣ</v>
      </c>
      <c r="I53" s="177" t="str">
        <f>IF($F53&gt;0,VLOOKUP($F53,[1]DrawPrep!$C$3:$F$66,3,FALSE),"")</f>
        <v>ΑΟ ΑΤΛΑΝΤΙΣ</v>
      </c>
      <c r="J53" s="66">
        <v>1</v>
      </c>
      <c r="K53" s="49" t="str">
        <f>UPPER(IF($A$2="R",IF(OR(J53=1,J53="a"),F53,IF(OR(J53=2,J53="b"),F54,"")),IF(OR(J53=1,J53="a"),H53,IF(OR(J53=2,J53="b"),H54,""))))</f>
        <v>ΧΑΜΑΜΗΣ</v>
      </c>
      <c r="L53" s="37"/>
      <c r="M53" s="36"/>
      <c r="N53" s="37"/>
      <c r="O53" s="36"/>
    </row>
    <row r="54" spans="1:15" ht="12" x14ac:dyDescent="0.25">
      <c r="A54" s="153">
        <v>50</v>
      </c>
      <c r="B54" s="154">
        <v>52</v>
      </c>
      <c r="C54" s="155">
        <v>13</v>
      </c>
      <c r="D54" s="153">
        <f>VLOOKUP($B54,[1]Setup!$M$4:$N$67,2,FALSE)</f>
        <v>0</v>
      </c>
      <c r="E54" s="153">
        <f>IF(NOT($D54=0),VLOOKUP($D54,[1]DrawPrep!$A$3:$F$66,6,FALSE),0)</f>
        <v>0</v>
      </c>
      <c r="F54" s="153">
        <f>IF([1]Setup!$B$24="#",0,IF(NOT($D54=0),VLOOKUP($D54,[1]DrawPrep!$A$3:$F$66,3,FALSE),0))</f>
        <v>0</v>
      </c>
      <c r="G54" s="156" t="str">
        <f>IF($F54&gt;0,VLOOKUP($F54,[1]DrawPrep!$C$3:$F$66,2,FALSE),"bye")</f>
        <v>bye</v>
      </c>
      <c r="H54" s="157" t="str">
        <f t="shared" si="0"/>
        <v/>
      </c>
      <c r="I54" s="158" t="str">
        <f>IF($F54&gt;0,VLOOKUP($F54,[1]DrawPrep!$C$3:$F$66,3,FALSE),"")</f>
        <v/>
      </c>
      <c r="J54" s="81"/>
      <c r="K54" s="58"/>
      <c r="L54" s="66"/>
      <c r="M54" s="49" t="str">
        <f>UPPER(IF($A$2="R",IF(OR(L54=1,L54="a"),K53,IF(OR(L54=2,L54="b"),K55,"")),IF(OR(L54=1,L54="a"),K53,IF(OR(L54=2,L54="b"),K55,""))))</f>
        <v/>
      </c>
      <c r="N54" s="6"/>
      <c r="O54" s="36" t="str">
        <f>UPPER(IF($A$2="R",IF(OR(N54=1,N54="a"),M53,IF(OR(N54=2,N54="b"),M55,"")),IF(OR(N54=1,N54="a"),M53,IF(OR(N54=2,N54="b"),M55,""))))</f>
        <v/>
      </c>
    </row>
    <row r="55" spans="1:15" ht="11.4" x14ac:dyDescent="0.25">
      <c r="A55" s="145">
        <v>51</v>
      </c>
      <c r="B55" s="154">
        <v>36</v>
      </c>
      <c r="C55" s="159">
        <v>29</v>
      </c>
      <c r="D55" s="145">
        <f>VLOOKUP($B55,[1]Setup!$M$4:$N$67,2,FALSE)</f>
        <v>35</v>
      </c>
      <c r="E55" s="145">
        <f>IF(NOT($D55=0),VLOOKUP($D55,[1]DrawPrep!$A$3:$F$66,6,FALSE),0)</f>
        <v>0</v>
      </c>
      <c r="F55" s="145">
        <f>IF([1]Setup!$B$24="#",0,IF(NOT($D55=0),VLOOKUP($D55,[1]DrawPrep!$A$3:$F$66,3,FALSE),0))</f>
        <v>31285</v>
      </c>
      <c r="G55" s="160" t="str">
        <f>IF($F55&gt;0,VLOOKUP($F55,[1]DrawPrep!$C$3:$F$66,2,FALSE),"bye")</f>
        <v>ΚΩΣΤΟΥΡΟΣ ΔΗΜΗΤΡΙΟΣ</v>
      </c>
      <c r="H55" s="161" t="str">
        <f t="shared" si="0"/>
        <v>ΚΩΣΤΟΥΡΟΣ</v>
      </c>
      <c r="I55" s="162" t="str">
        <f>IF($F55&gt;0,VLOOKUP($F55,[1]DrawPrep!$C$3:$F$66,3,FALSE),"")</f>
        <v>ΠΕΥΚΗ Γ ΚΑΛΟΒΕΛΩΝΗΣ</v>
      </c>
      <c r="J55" s="66"/>
      <c r="K55" s="82" t="str">
        <f>UPPER(IF($A$2="R",IF(OR(J55=1,J55="a"),F55,IF(OR(J55=2,J55="b"),F56,"")),IF(OR(J55=1,J55="a"),H55,IF(OR(J55=2,J55="b"),H56,""))))</f>
        <v/>
      </c>
      <c r="L55" s="81"/>
      <c r="M55" s="58"/>
      <c r="N55" s="6"/>
      <c r="O55" s="38"/>
    </row>
    <row r="56" spans="1:15" ht="11.4" x14ac:dyDescent="0.25">
      <c r="A56" s="153">
        <v>52</v>
      </c>
      <c r="B56" s="154">
        <v>20</v>
      </c>
      <c r="C56" s="159"/>
      <c r="D56" s="153">
        <f>VLOOKUP($B56,[1]Setup!$M$4:$N$67,2,FALSE)</f>
        <v>17</v>
      </c>
      <c r="E56" s="153">
        <f>IF(NOT($D56=0),VLOOKUP($D56,[1]DrawPrep!$A$3:$F$66,6,FALSE),0)</f>
        <v>0</v>
      </c>
      <c r="F56" s="153">
        <f>IF([1]Setup!$B$24="#",0,IF(NOT($D56=0),VLOOKUP($D56,[1]DrawPrep!$A$3:$F$66,3,FALSE),0))</f>
        <v>31257</v>
      </c>
      <c r="G56" s="156" t="str">
        <f>IF($F56&gt;0,VLOOKUP($F56,[1]DrawPrep!$C$3:$F$66,2,FALSE),"bye")</f>
        <v>ΚΟΗΣ ΑΝΔΡΕΑΣ</v>
      </c>
      <c r="H56" s="157" t="str">
        <f t="shared" si="0"/>
        <v>ΚΟΗΣ</v>
      </c>
      <c r="I56" s="158" t="str">
        <f>IF($F56&gt;0,VLOOKUP($F56,[1]DrawPrep!$C$3:$F$66,3,FALSE),"")</f>
        <v>ΟΑ ΣΥΡΟΥ</v>
      </c>
      <c r="J56" s="81"/>
      <c r="K56" s="15"/>
      <c r="L56" s="37"/>
      <c r="M56" s="64"/>
      <c r="N56" s="66"/>
      <c r="O56" s="49" t="str">
        <f>UPPER(IF($A$2="R",IF(OR(N56=1,N56="a"),M54,IF(OR(N56=2,N56="b"),M58,"")),IF(OR(N56=1,N56="a"),M54,IF(OR(N56=2,N56="b"),M58,""))))</f>
        <v/>
      </c>
    </row>
    <row r="57" spans="1:15" ht="12" x14ac:dyDescent="0.25">
      <c r="A57" s="129">
        <v>53</v>
      </c>
      <c r="B57" s="147">
        <v>14</v>
      </c>
      <c r="C57" s="159"/>
      <c r="D57" s="181">
        <v>15</v>
      </c>
      <c r="E57" s="181">
        <f>IF(NOT($D57=0),VLOOKUP($D57,[1]DrawPrep!$A$3:$F$66,6,FALSE),0)</f>
        <v>0</v>
      </c>
      <c r="F57" s="181">
        <f>IF([1]Setup!$B$24="#",0,IF(NOT($D57=0),VLOOKUP($D57,[1]DrawPrep!$A$3:$F$66,3,FALSE),0))</f>
        <v>37315</v>
      </c>
      <c r="G57" s="182" t="str">
        <f>IF($F57&gt;0,VLOOKUP($F57,[1]DrawPrep!$C$3:$F$66,2,FALSE),"bye")</f>
        <v>ΜΑΝΩΛΑΣ ΝΙΚΟΛΑΟΣ</v>
      </c>
      <c r="H57" s="183" t="str">
        <f t="shared" si="0"/>
        <v>ΜΑΝΩΛΑΣ</v>
      </c>
      <c r="I57" s="47" t="str">
        <f>IF($F57&gt;0,VLOOKUP($F57,[1]DrawPrep!$C$3:$F$66,3,FALSE),"")</f>
        <v>ΑΟ ΠΕΥΚΗΣ TIE BREAK</v>
      </c>
      <c r="J57" s="66"/>
      <c r="K57" s="49" t="str">
        <f>UPPER(IF($A$2="R",IF(OR(J57=1,J57="a"),F57,IF(OR(J57=2,J57="b"),F58,"")),IF(OR(J57=1,J57="a"),H57,IF(OR(J57=2,J57="b"),H58,""))))</f>
        <v/>
      </c>
      <c r="L57" s="37"/>
      <c r="M57" s="64"/>
      <c r="N57" s="37"/>
      <c r="O57" s="36"/>
    </row>
    <row r="58" spans="1:15" ht="12" x14ac:dyDescent="0.25">
      <c r="A58" s="129">
        <v>54</v>
      </c>
      <c r="B58" s="154">
        <v>51</v>
      </c>
      <c r="C58" s="155">
        <v>14</v>
      </c>
      <c r="D58" s="129">
        <v>37</v>
      </c>
      <c r="E58" s="129">
        <f>IF(NOT($D58=0),VLOOKUP($D58,[1]DrawPrep!$A$3:$F$66,6,FALSE),0)</f>
        <v>0</v>
      </c>
      <c r="F58" s="129">
        <f>IF([1]Setup!$B$24="#",0,IF(NOT($D58=0),VLOOKUP($D58,[1]DrawPrep!$A$3:$F$66,3,FALSE),0))</f>
        <v>29611</v>
      </c>
      <c r="G58" s="185" t="str">
        <f>IF($F58&gt;0,VLOOKUP($F58,[1]DrawPrep!$C$3:$F$66,2,FALSE),"bye")</f>
        <v>ΚΙΟΥΣΗΣ ΕΥΑΓΓΕΛΟΣ</v>
      </c>
      <c r="H58" s="36" t="str">
        <f t="shared" si="0"/>
        <v>ΚΙΟΥΣΗΣ</v>
      </c>
      <c r="I58" s="64" t="str">
        <f>IF($F58&gt;0,VLOOKUP($F58,[1]DrawPrep!$C$3:$F$66,3,FALSE),"")</f>
        <v>ΑΙΟΛΟΣ ΑΛ ΙΛΙΟΥ</v>
      </c>
      <c r="J58" s="81"/>
      <c r="K58" s="58"/>
      <c r="L58" s="66"/>
      <c r="M58" s="82" t="str">
        <f>UPPER(IF($A$2="R",IF(OR(L58=1,L58="a"),K57,IF(OR(L58=2,L58="b"),K59,"")),IF(OR(L58=1,L58="a"),K57,IF(OR(L58=2,L58="b"),K59,""))))</f>
        <v/>
      </c>
      <c r="N58" s="6"/>
      <c r="O58" s="36" t="str">
        <f>UPPER(IF($A$2="R",IF(OR(N58=1,N58="a"),M57,IF(OR(N58=2,N58="b"),M59,"")),IF(OR(N58=1,N58="a"),M57,IF(OR(N58=2,N58="b"),M59,""))))</f>
        <v/>
      </c>
    </row>
    <row r="59" spans="1:15" ht="11.4" x14ac:dyDescent="0.25">
      <c r="A59" s="163">
        <v>55</v>
      </c>
      <c r="B59" s="154">
        <v>35</v>
      </c>
      <c r="C59" s="170">
        <v>30</v>
      </c>
      <c r="D59" s="163"/>
      <c r="E59" s="163">
        <f>IF(NOT($D59=0),VLOOKUP($D59,[1]DrawPrep!$A$3:$F$66,6,FALSE),0)</f>
        <v>0</v>
      </c>
      <c r="F59" s="163">
        <f>IF([1]Setup!$B$24="#",0,IF(NOT($D59=0),VLOOKUP($D59,[1]DrawPrep!$A$3:$F$66,3,FALSE),0))</f>
        <v>0</v>
      </c>
      <c r="G59" s="171" t="str">
        <f>IF($F59&gt;0,VLOOKUP($F59,[1]DrawPrep!$C$3:$F$66,2,FALSE),"bye")</f>
        <v>bye</v>
      </c>
      <c r="H59" s="55" t="str">
        <f t="shared" si="0"/>
        <v/>
      </c>
      <c r="I59" s="57" t="str">
        <f>IF($F59&gt;0,VLOOKUP($F59,[1]DrawPrep!$C$3:$F$66,3,FALSE),"")</f>
        <v/>
      </c>
      <c r="J59" s="66">
        <v>2</v>
      </c>
      <c r="K59" s="82" t="str">
        <f>UPPER(IF($A$2="R",IF(OR(J59=1,J59="a"),F59,IF(OR(J59=2,J59="b"),F60,"")),IF(OR(J59=1,J59="a"),H59,IF(OR(J59=2,J59="b"),H60,""))))</f>
        <v>ΝΤΙΡΖΟΥ</v>
      </c>
      <c r="L59" s="81"/>
      <c r="M59" s="172"/>
      <c r="N59" s="6"/>
      <c r="O59" s="38"/>
    </row>
    <row r="60" spans="1:15" ht="11.4" x14ac:dyDescent="0.25">
      <c r="A60" s="168">
        <v>56</v>
      </c>
      <c r="B60" s="154">
        <v>19</v>
      </c>
      <c r="C60" s="159"/>
      <c r="D60" s="168">
        <f>VLOOKUP($B60,[1]Setup!$M$4:$N$67,2,FALSE)</f>
        <v>23</v>
      </c>
      <c r="E60" s="168">
        <f>IF(NOT($D60=0),VLOOKUP($D60,[1]DrawPrep!$A$3:$F$66,6,FALSE),0)</f>
        <v>0</v>
      </c>
      <c r="F60" s="168">
        <f>IF([1]Setup!$B$24="#",0,IF(NOT($D60=0),VLOOKUP($D60,[1]DrawPrep!$A$3:$F$66,3,FALSE),0))</f>
        <v>16350</v>
      </c>
      <c r="G60" s="169" t="str">
        <f>IF($F60&gt;0,VLOOKUP($F60,[1]DrawPrep!$C$3:$F$66,2,FALSE),"bye")</f>
        <v>ΝΤΙΡΖΟΥ ΑΝΤΡΕΪ</v>
      </c>
      <c r="H60" s="49" t="str">
        <f t="shared" si="0"/>
        <v>ΝΤΙΡΖΟΥ</v>
      </c>
      <c r="I60" s="82" t="str">
        <f>IF($F60&gt;0,VLOOKUP($F60,[1]DrawPrep!$C$3:$F$66,3,FALSE),"")</f>
        <v>ΣΦΑ ΜΕΛΙΣΣΙΩΝ Ο ΦΟΙΒΟΣ</v>
      </c>
      <c r="J60" s="81"/>
      <c r="K60" s="172"/>
      <c r="L60" s="39"/>
      <c r="M60" s="36"/>
      <c r="N60" s="37"/>
      <c r="O60" s="36"/>
    </row>
    <row r="61" spans="1:15" ht="12" x14ac:dyDescent="0.25">
      <c r="A61" s="173">
        <v>57</v>
      </c>
      <c r="B61" s="147">
        <v>15</v>
      </c>
      <c r="C61" s="159"/>
      <c r="D61" s="174">
        <v>8</v>
      </c>
      <c r="E61" s="174">
        <f>IF(NOT($D61=0),VLOOKUP($D61,[1]DrawPrep!$A$3:$F$66,6,FALSE),0)</f>
        <v>0.1</v>
      </c>
      <c r="F61" s="174">
        <f>IF([1]Setup!$B$24="#",0,IF(NOT($D61=0),VLOOKUP($D61,[1]DrawPrep!$A$3:$F$66,3,FALSE),0))</f>
        <v>37610</v>
      </c>
      <c r="G61" s="175" t="str">
        <f>IF($F61&gt;0,VLOOKUP($F61,[1]DrawPrep!$C$3:$F$66,2,FALSE),"bye")</f>
        <v>ΑΝΑΓΝΩΣΤΟΠΟΥΛΟΣ ΣΩΤΗΡΙΟΣ</v>
      </c>
      <c r="H61" s="176" t="str">
        <f t="shared" si="0"/>
        <v>ΑΝΑΓΝΩΣΤΟΠΟΥΛΟΣ</v>
      </c>
      <c r="I61" s="177" t="str">
        <f>IF($F61&gt;0,VLOOKUP($F61,[1]DrawPrep!$C$3:$F$66,3,FALSE),"")</f>
        <v>ΑΜΕΣ Ν ΕΡΥΘΡΑΙΑΣ</v>
      </c>
      <c r="J61" s="66">
        <v>1</v>
      </c>
      <c r="K61" s="49" t="str">
        <f>UPPER(IF($A$2="R",IF(OR(J61=1,J61="a"),F61,IF(OR(J61=2,J61="b"),F62,"")),IF(OR(J61=1,J61="a"),H61,IF(OR(J61=2,J61="b"),H62,""))))</f>
        <v>ΑΝΑΓΝΩΣΤΟΠΟΥΛΟΣ</v>
      </c>
      <c r="L61" s="37"/>
      <c r="M61" s="36"/>
      <c r="N61" s="37"/>
      <c r="O61" s="36"/>
    </row>
    <row r="62" spans="1:15" ht="12" x14ac:dyDescent="0.25">
      <c r="A62" s="153">
        <v>58</v>
      </c>
      <c r="B62" s="154">
        <v>50</v>
      </c>
      <c r="C62" s="155">
        <v>15</v>
      </c>
      <c r="D62" s="153">
        <f>VLOOKUP($B62,[1]Setup!$M$4:$N$67,2,FALSE)</f>
        <v>0</v>
      </c>
      <c r="E62" s="153">
        <f>IF(NOT($D62=0),VLOOKUP($D62,[1]DrawPrep!$A$3:$F$66,6,FALSE),0)</f>
        <v>0</v>
      </c>
      <c r="F62" s="153">
        <f>IF([1]Setup!$B$24="#",0,IF(NOT($D62=0),VLOOKUP($D62,[1]DrawPrep!$A$3:$F$66,3,FALSE),0))</f>
        <v>0</v>
      </c>
      <c r="G62" s="156" t="str">
        <f>IF($F62&gt;0,VLOOKUP($F62,[1]DrawPrep!$C$3:$F$66,2,FALSE),"bye")</f>
        <v>bye</v>
      </c>
      <c r="H62" s="157" t="str">
        <f t="shared" si="0"/>
        <v/>
      </c>
      <c r="I62" s="158" t="str">
        <f>IF($F62&gt;0,VLOOKUP($F62,[1]DrawPrep!$C$3:$F$66,3,FALSE),"")</f>
        <v/>
      </c>
      <c r="J62" s="81"/>
      <c r="K62" s="58"/>
      <c r="L62" s="66"/>
      <c r="M62" s="49" t="str">
        <f>UPPER(IF($A$2="R",IF(OR(L62=1,L62="a"),K61,IF(OR(L62=2,L62="b"),K63,"")),IF(OR(L62=1,L62="a"),K61,IF(OR(L62=2,L62="b"),K63,""))))</f>
        <v/>
      </c>
      <c r="N62" s="6"/>
      <c r="O62" s="36" t="str">
        <f>UPPER(IF($A$2="R",IF(OR(N62=1,N62="a"),M61,IF(OR(N62=2,N62="b"),M63,"")),IF(OR(N62=1,N62="a"),M61,IF(OR(N62=2,N62="b"),M63,""))))</f>
        <v/>
      </c>
    </row>
    <row r="63" spans="1:15" ht="11.4" x14ac:dyDescent="0.25">
      <c r="A63" s="173">
        <v>59</v>
      </c>
      <c r="B63" s="154">
        <v>34</v>
      </c>
      <c r="C63" s="159">
        <v>31</v>
      </c>
      <c r="D63" s="173"/>
      <c r="E63" s="173">
        <f>IF(NOT($D63=0),VLOOKUP($D63,[1]DrawPrep!$A$3:$F$66,6,FALSE),0)</f>
        <v>0</v>
      </c>
      <c r="F63" s="173">
        <f>IF([1]Setup!$B$24="#",0,IF(NOT($D63=0),VLOOKUP($D63,[1]DrawPrep!$A$3:$F$66,3,FALSE),0))</f>
        <v>0</v>
      </c>
      <c r="G63" s="178" t="str">
        <f>IF($F63&gt;0,VLOOKUP($F63,[1]DrawPrep!$C$3:$F$66,2,FALSE),"bye")</f>
        <v>bye</v>
      </c>
      <c r="H63" s="179" t="str">
        <f t="shared" si="0"/>
        <v/>
      </c>
      <c r="I63" s="180" t="str">
        <f>IF($F63&gt;0,VLOOKUP($F63,[1]DrawPrep!$C$3:$F$66,3,FALSE),"")</f>
        <v/>
      </c>
      <c r="J63" s="66">
        <v>2</v>
      </c>
      <c r="K63" s="49" t="str">
        <f>UPPER(IF($A$2="R",IF(OR(J63=1,J63="a"),F63,IF(OR(J63=2,J63="b"),F64,"")),IF(OR(J63=1,J63="a"),H63,IF(OR(J63=2,J63="b"),H64,""))))</f>
        <v>ΓΛΕΖΟΣ</v>
      </c>
      <c r="L63" s="81"/>
      <c r="M63" s="58"/>
      <c r="N63" s="6"/>
      <c r="O63" s="38"/>
    </row>
    <row r="64" spans="1:15" ht="11.4" x14ac:dyDescent="0.25">
      <c r="A64" s="173">
        <v>60</v>
      </c>
      <c r="B64" s="154">
        <v>18</v>
      </c>
      <c r="C64" s="159"/>
      <c r="D64" s="173">
        <v>21</v>
      </c>
      <c r="E64" s="173">
        <f>IF(NOT($D64=0),VLOOKUP($D64,[1]DrawPrep!$A$3:$F$66,6,FALSE),0)</f>
        <v>0</v>
      </c>
      <c r="F64" s="173">
        <f>IF([1]Setup!$B$24="#",0,IF(NOT($D64=0),VLOOKUP($D64,[1]DrawPrep!$A$3:$F$66,3,FALSE),0))</f>
        <v>14657</v>
      </c>
      <c r="G64" s="178" t="str">
        <f>IF($F64&gt;0,VLOOKUP($F64,[1]DrawPrep!$C$3:$F$66,2,FALSE),"bye")</f>
        <v>ΓΛΕΖΟΣ ΜΑΝΩΛΗΣ</v>
      </c>
      <c r="H64" s="179" t="str">
        <f t="shared" si="0"/>
        <v>ΓΛΕΖΟΣ</v>
      </c>
      <c r="I64" s="180" t="str">
        <f>IF($F64&gt;0,VLOOKUP($F64,[1]DrawPrep!$C$3:$F$66,3,FALSE),"")</f>
        <v>ΑΟΑ ΦΙΛΟΘΕΗΣ</v>
      </c>
      <c r="J64" s="71"/>
      <c r="K64" s="15"/>
      <c r="L64" s="37"/>
      <c r="M64" s="64"/>
      <c r="N64" s="66"/>
      <c r="O64" s="49" t="str">
        <f>UPPER(IF($A$2="R",IF(OR(N64=1,N64="a"),M62,IF(OR(N64=2,N64="b"),M66,"")),IF(OR(N64=1,N64="a"),M62,IF(OR(N64=2,N64="b"),M66,""))))</f>
        <v/>
      </c>
    </row>
    <row r="65" spans="1:15" ht="12" x14ac:dyDescent="0.25">
      <c r="A65" s="163">
        <v>61</v>
      </c>
      <c r="B65" s="147">
        <v>16</v>
      </c>
      <c r="C65" s="159"/>
      <c r="D65" s="164">
        <v>9</v>
      </c>
      <c r="E65" s="164">
        <f>IF(NOT($D65=0),VLOOKUP($D65,[1]DrawPrep!$A$3:$F$66,6,FALSE),0)</f>
        <v>0</v>
      </c>
      <c r="F65" s="164">
        <f>IF([1]Setup!$B$24="#",0,IF(NOT($D65=0),VLOOKUP($D65,[1]DrawPrep!$A$3:$F$66,3,FALSE),0))</f>
        <v>37924</v>
      </c>
      <c r="G65" s="165" t="str">
        <f>IF($F65&gt;0,VLOOKUP($F65,[1]DrawPrep!$C$3:$F$66,2,FALSE),"bye")</f>
        <v>ΓΟΥΤΑΣ ΔΗΜΗΤΡΙΟΣ</v>
      </c>
      <c r="H65" s="166" t="str">
        <f t="shared" si="0"/>
        <v>ΓΟΥΤΑΣ</v>
      </c>
      <c r="I65" s="35" t="str">
        <f>IF($F65&gt;0,VLOOKUP($F65,[1]DrawPrep!$C$3:$F$66,3,FALSE),"")</f>
        <v>ΑΟΑ ΦΙΛΟΘΕΗΣ</v>
      </c>
      <c r="J65" s="167"/>
      <c r="K65" s="49" t="str">
        <f>UPPER(IF($A$2="R",IF(OR(J65=1,J65="a"),F65,IF(OR(J65=2,J65="b"),F66,"")),IF(OR(J65=1,J65="a"),H65,IF(OR(J65=2,J65="b"),H66,""))))</f>
        <v/>
      </c>
      <c r="L65" s="37"/>
      <c r="M65" s="64"/>
      <c r="N65" s="37"/>
      <c r="O65" s="36"/>
    </row>
    <row r="66" spans="1:15" ht="12" x14ac:dyDescent="0.25">
      <c r="A66" s="168">
        <v>62</v>
      </c>
      <c r="B66" s="154">
        <v>49</v>
      </c>
      <c r="C66" s="155">
        <v>16</v>
      </c>
      <c r="D66" s="168">
        <v>34</v>
      </c>
      <c r="E66" s="168">
        <f>IF(NOT($D66=0),VLOOKUP($D66,[1]DrawPrep!$A$3:$F$66,6,FALSE),0)</f>
        <v>0</v>
      </c>
      <c r="F66" s="168">
        <f>IF([1]Setup!$B$24="#",0,IF(NOT($D66=0),VLOOKUP($D66,[1]DrawPrep!$A$3:$F$66,3,FALSE),0))</f>
        <v>30989</v>
      </c>
      <c r="G66" s="169" t="str">
        <f>IF($F66&gt;0,VLOOKUP($F66,[1]DrawPrep!$C$3:$F$66,2,FALSE),"bye")</f>
        <v>ΓΚΙΘΚΟΠΟΥΛΟΣ ΑΡΙΣΤΟΤΕΛΗΣ</v>
      </c>
      <c r="H66" s="49" t="str">
        <f t="shared" si="0"/>
        <v>ΓΚΙΘΚΟΠΟΥΛΟΣ</v>
      </c>
      <c r="I66" s="82" t="str">
        <f>IF($F66&gt;0,VLOOKUP($F66,[1]DrawPrep!$C$3:$F$66,3,FALSE),"")</f>
        <v>ΑΟ ΠΕΥΚΗΣ TIE BREAK</v>
      </c>
      <c r="J66" s="81"/>
      <c r="K66" s="58"/>
      <c r="L66" s="66"/>
      <c r="M66" s="82" t="str">
        <f>UPPER(IF($A$2="R",IF(OR(L66=1,L66="a"),K65,IF(OR(L66=2,L66="b"),K67,"")),IF(OR(L66=1,L66="a"),K65,IF(OR(L66=2,L66="b"),K67,""))))</f>
        <v/>
      </c>
      <c r="N66" s="6"/>
      <c r="O66" s="36" t="str">
        <f>UPPER(IF($A$2="R",IF(OR(N66=1,N66="a"),M65,IF(OR(N66=2,N66="b"),M67,"")),IF(OR(N66=1,N66="a"),M65,IF(OR(N66=2,N66="b"),M67,""))))</f>
        <v/>
      </c>
    </row>
    <row r="67" spans="1:15" ht="11.4" x14ac:dyDescent="0.25">
      <c r="A67" s="163">
        <v>63</v>
      </c>
      <c r="B67" s="154">
        <v>33</v>
      </c>
      <c r="C67" s="159">
        <v>32</v>
      </c>
      <c r="D67" s="163"/>
      <c r="E67" s="163">
        <f>IF(NOT($D67=0),VLOOKUP($D67,[1]DrawPrep!$A$3:$F$66,6,FALSE),0)</f>
        <v>0</v>
      </c>
      <c r="F67" s="163">
        <f>IF([1]Setup!$B$24="#",0,IF(NOT($D67=0),VLOOKUP($D67,[1]DrawPrep!$A$3:$F$66,3,FALSE),0))</f>
        <v>0</v>
      </c>
      <c r="G67" s="171" t="str">
        <f>IF($F67&gt;0,VLOOKUP($F67,[1]DrawPrep!$C$3:$F$66,2,FALSE),"bye")</f>
        <v>bye</v>
      </c>
      <c r="H67" s="55" t="str">
        <f t="shared" si="0"/>
        <v/>
      </c>
      <c r="I67" s="57" t="str">
        <f>IF($F67&gt;0,VLOOKUP($F67,[1]DrawPrep!$C$3:$F$66,3,FALSE),"")</f>
        <v/>
      </c>
      <c r="J67" s="66">
        <v>2</v>
      </c>
      <c r="K67" s="49" t="str">
        <f>UPPER(IF($A$2="R",IF(OR(J67=1,J67="a"),F67,IF(OR(J67=2,J67="b"),F68,"")),IF(OR(J67=1,J67="a"),H67,IF(OR(J67=2,J67="b"),H68,""))))</f>
        <v>ΤΡΙΑΝΤΑΦΥΛΛΟΥ</v>
      </c>
      <c r="L67" s="186"/>
      <c r="M67" s="172"/>
      <c r="N67" s="7"/>
      <c r="O67" s="38"/>
    </row>
    <row r="68" spans="1:15" ht="11.4" x14ac:dyDescent="0.25">
      <c r="A68" s="168">
        <v>64</v>
      </c>
      <c r="B68" s="154">
        <v>17</v>
      </c>
      <c r="C68" s="159"/>
      <c r="D68" s="168">
        <f>VLOOKUP($B68,[1]Setup!$M$4:$N$67,2,FALSE)</f>
        <v>27</v>
      </c>
      <c r="E68" s="168">
        <f>IF(NOT($D68=0),VLOOKUP($D68,[1]DrawPrep!$A$3:$F$66,6,FALSE),0)</f>
        <v>0</v>
      </c>
      <c r="F68" s="168">
        <f>IF([1]Setup!$B$24="#",0,IF(NOT($D68=0),VLOOKUP($D68,[1]DrawPrep!$A$3:$F$66,3,FALSE),0))</f>
        <v>29500</v>
      </c>
      <c r="G68" s="169" t="str">
        <f>IF($F68&gt;0,VLOOKUP($F68,[1]DrawPrep!$C$3:$F$66,2,FALSE),"bye")</f>
        <v>ΤΡΙΑΝΤΑΦΥΛΛΟΥ ΝΤΑΝΙΕΛ</v>
      </c>
      <c r="H68" s="49" t="str">
        <f t="shared" si="0"/>
        <v>ΤΡΙΑΝΤΑΦΥΛΛΟΥ</v>
      </c>
      <c r="I68" s="82" t="str">
        <f>IF($F68&gt;0,VLOOKUP($F68,[1]DrawPrep!$C$3:$F$66,3,FALSE),"")</f>
        <v>ΟΑ ΑΝΑΦΛΥΣΤΟΣ ΣΑΡΩΝΙΔΑΣ</v>
      </c>
      <c r="J68" s="186"/>
      <c r="K68" s="15"/>
      <c r="M68" s="36"/>
      <c r="O68" s="36"/>
    </row>
    <row r="69" spans="1:15" x14ac:dyDescent="0.25">
      <c r="K69" s="189" t="s">
        <v>10</v>
      </c>
      <c r="M69" s="189" t="s">
        <v>10</v>
      </c>
      <c r="O69" s="189" t="s">
        <v>10</v>
      </c>
    </row>
    <row r="70" spans="1:15" x14ac:dyDescent="0.25">
      <c r="D70" s="306" t="s">
        <v>11</v>
      </c>
      <c r="E70" s="306"/>
    </row>
    <row r="71" spans="1:15" x14ac:dyDescent="0.25">
      <c r="D71" s="307" t="str">
        <f>I81&amp;", "&amp;I82&amp;", "&amp;I83&amp;", "&amp;I84&amp;", "&amp;I85&amp;", "&amp;I86</f>
        <v>01. ΒΑΡΦΗΣ Ι, 02. ΜΑΝΟΥΣΑΚΗΣ Δ, 03. ΣΠΥΡΟΠΟΥΛΟΣ Α, 04. ΑΝΔΡΟΥΤΣΕΛΗΣ Ι, 05. ΡΑΠΤΗΣ Κ, 06. ΜΠΙΣΜΠΙΚΟΣ Π</v>
      </c>
      <c r="E71" s="307"/>
      <c r="F71" s="307"/>
      <c r="G71" s="307"/>
      <c r="H71" s="307"/>
      <c r="I71" s="307"/>
      <c r="J71" s="307"/>
      <c r="K71" s="307"/>
      <c r="L71" s="307"/>
      <c r="M71" s="307"/>
      <c r="N71" s="125"/>
      <c r="O71" s="190" t="s">
        <v>12</v>
      </c>
    </row>
    <row r="72" spans="1:15" x14ac:dyDescent="0.25">
      <c r="D72" s="307" t="str">
        <f>I87&amp;", "&amp;I88&amp;", "&amp; K81&amp;", "&amp;K82&amp;", "&amp;K83 &amp;", "&amp; K84</f>
        <v>07. ΧΑΜΑΜΗΣ Ν, 08. ΑΝΑΓΝΩΣΤΟΠΟΥΛΟΣ Σ, 09. ΓΟΥΤΑΣ Δ, 10. ΞΥΛΑΣ Ι, 11. ΠΟΛΙΤΗΣ Β, 12. ΚΟΣΜΑΣ Π</v>
      </c>
      <c r="E72" s="307"/>
      <c r="F72" s="307"/>
      <c r="G72" s="307"/>
      <c r="H72" s="307"/>
      <c r="I72" s="307"/>
      <c r="J72" s="307"/>
      <c r="K72" s="307"/>
      <c r="L72" s="307"/>
      <c r="M72" s="307"/>
      <c r="N72" s="125"/>
      <c r="O72" s="191" t="str">
        <f>[1]Setup!$B$10</f>
        <v>Τ.Ταμπόση</v>
      </c>
    </row>
    <row r="73" spans="1:15" x14ac:dyDescent="0.25">
      <c r="D73" s="303" t="str">
        <f>K85&amp;", "&amp;K86&amp;", "&amp;K87&amp;", "&amp;K88</f>
        <v>13. ΠΟΛΥΔΑΚΗΣ Γ, 14. ΑΝΔΡΟΥΤΣΕΛΗΣ Α, 15. ΜΑΝΩΛΑΣ Ν, 16. ΚΑΒΑΛΛΑΣ Θ</v>
      </c>
      <c r="E73" s="303"/>
      <c r="F73" s="303"/>
      <c r="G73" s="303"/>
      <c r="H73" s="303"/>
      <c r="I73" s="303"/>
      <c r="J73" s="303"/>
      <c r="K73" s="303"/>
      <c r="L73" s="303"/>
      <c r="M73" s="303"/>
      <c r="N73" s="132"/>
      <c r="O73" s="132"/>
    </row>
    <row r="74" spans="1:15" x14ac:dyDescent="0.25">
      <c r="L74" s="192"/>
      <c r="N74" s="192"/>
      <c r="O74" s="193"/>
    </row>
    <row r="80" spans="1:15" hidden="1" x14ac:dyDescent="0.25">
      <c r="G80" s="194" t="s">
        <v>15</v>
      </c>
    </row>
    <row r="81" spans="7:11" hidden="1" x14ac:dyDescent="0.25">
      <c r="G81" s="195" t="str">
        <f>IF([1]Setup!$B$19&gt;0,LEFT([1]DrawPrep!D3,FIND(" ",[1]DrawPrep!D3)-1))</f>
        <v>ΒΑΡΦΗΣ</v>
      </c>
      <c r="I81" s="187" t="str">
        <f>"01. " &amp; IF([1]Setup!B19&gt;0,LEFT([1]DrawPrep!D3,FIND(" ",[1]DrawPrep!D3)+1),"")</f>
        <v>01. ΒΑΡΦΗΣ Ι</v>
      </c>
      <c r="K81" s="196" t="str">
        <f>"09. " &amp; IF([1]Setup!B19&gt;8,LEFT([1]DrawPrep!D11,FIND(" ",[1]DrawPrep!D11)+1),"")</f>
        <v>09. ΓΟΥΤΑΣ Δ</v>
      </c>
    </row>
    <row r="82" spans="7:11" hidden="1" x14ac:dyDescent="0.25">
      <c r="G82" s="195" t="str">
        <f>IF([1]Setup!$B$19&gt;1,LEFT([1]DrawPrep!D4,FIND(" ",[1]DrawPrep!D4)-1))</f>
        <v>ΜΑΝΟΥΣΑΚΗΣ</v>
      </c>
      <c r="I82" s="187" t="str">
        <f>"02. " &amp; IF([1]Setup!B19&gt;1,LEFT([1]DrawPrep!D4,FIND(" ",[1]DrawPrep!D4)+1),"")</f>
        <v>02. ΜΑΝΟΥΣΑΚΗΣ Δ</v>
      </c>
      <c r="K82" s="196" t="str">
        <f>"10. " &amp; IF([1]Setup!B19&gt;9,LEFT([1]DrawPrep!D12,FIND(" ",[1]DrawPrep!D12)+1),"")</f>
        <v>10. ΞΥΛΑΣ Ι</v>
      </c>
    </row>
    <row r="83" spans="7:11" hidden="1" x14ac:dyDescent="0.25">
      <c r="G83" s="195" t="str">
        <f>IF([1]Setup!$B$19&gt;2,LEFT([1]DrawPrep!D5,FIND(" ",[1]DrawPrep!D5)-1))</f>
        <v>ΣΠΥΡΟΠΟΥΛΟΣ</v>
      </c>
      <c r="I83" s="187" t="str">
        <f>"03. " &amp; IF([1]Setup!B19&gt;2,LEFT([1]DrawPrep!D5,FIND(" ",[1]DrawPrep!D5)+1),"")</f>
        <v>03. ΣΠΥΡΟΠΟΥΛΟΣ Α</v>
      </c>
      <c r="K83" s="196" t="str">
        <f>"11. " &amp; IF([1]Setup!B19&gt;10,LEFT([1]DrawPrep!D13,FIND(" ",[1]DrawPrep!D13)+1),"")</f>
        <v>11. ΠΟΛΙΤΗΣ Β</v>
      </c>
    </row>
    <row r="84" spans="7:11" hidden="1" x14ac:dyDescent="0.25">
      <c r="G84" s="195" t="str">
        <f>IF([1]Setup!$B$19&gt;3,LEFT([1]DrawPrep!D6,FIND(" ",[1]DrawPrep!D6)-1))</f>
        <v>ΑΝΔΡΟΥΤΣΕΛΗΣ</v>
      </c>
      <c r="I84" s="187" t="str">
        <f>"04. " &amp; IF([1]Setup!B19&gt;3,LEFT([1]DrawPrep!D6,FIND(" ",[1]DrawPrep!D6)+1),"")</f>
        <v>04. ΑΝΔΡΟΥΤΣΕΛΗΣ Ι</v>
      </c>
      <c r="K84" s="196" t="str">
        <f>"12. " &amp; IF([1]Setup!B19&gt;11,LEFT([1]DrawPrep!D14,FIND(" ",[1]DrawPrep!D14)+1),"")</f>
        <v>12. ΚΟΣΜΑΣ Π</v>
      </c>
    </row>
    <row r="85" spans="7:11" hidden="1" x14ac:dyDescent="0.25">
      <c r="G85" s="195" t="str">
        <f>IF([1]Setup!$B$19&gt;4,LEFT([1]DrawPrep!D7,FIND(" ",[1]DrawPrep!D7)-1))</f>
        <v>ΡΑΠΤΗΣ</v>
      </c>
      <c r="I85" s="187" t="str">
        <f>"05. " &amp; IF([1]Setup!B19&gt;4,LEFT([1]DrawPrep!D7,FIND(" ",[1]DrawPrep!D7)+1),"")</f>
        <v>05. ΡΑΠΤΗΣ Κ</v>
      </c>
      <c r="K85" s="196" t="str">
        <f>"13. " &amp; IF([1]Setup!B19&gt;12,LEFT([1]DrawPrep!D15,FIND(" ",[1]DrawPrep!D15)+1),"")</f>
        <v>13. ΠΟΛΥΔΑΚΗΣ Γ</v>
      </c>
    </row>
    <row r="86" spans="7:11" hidden="1" x14ac:dyDescent="0.25">
      <c r="G86" s="195" t="str">
        <f>IF([1]Setup!$B$19&gt;5,LEFT([1]DrawPrep!D8,FIND(" ",[1]DrawPrep!D8)-1))</f>
        <v>ΜΠΙΣΜΠΙΚΟΣ</v>
      </c>
      <c r="I86" s="187" t="str">
        <f>"06. " &amp; IF([1]Setup!B19&gt;5,LEFT([1]DrawPrep!D8,FIND(" ",[1]DrawPrep!D8)+1),"")</f>
        <v>06. ΜΠΙΣΜΠΙΚΟΣ Π</v>
      </c>
      <c r="K86" s="196" t="str">
        <f>"14. " &amp; IF([1]Setup!B19&gt;13,LEFT([1]DrawPrep!D16,FIND(" ",[1]DrawPrep!D16)+1),"")</f>
        <v>14. ΑΝΔΡΟΥΤΣΕΛΗΣ Α</v>
      </c>
    </row>
    <row r="87" spans="7:11" hidden="1" x14ac:dyDescent="0.25">
      <c r="G87" s="195" t="str">
        <f>IF([1]Setup!$B$19&gt;6,LEFT([1]DrawPrep!D9,FIND(" ",[1]DrawPrep!D9)-1))</f>
        <v>ΧΑΜΑΜΗΣ</v>
      </c>
      <c r="I87" s="187" t="str">
        <f>"07. " &amp; IF([1]Setup!B19&gt;6,LEFT([1]DrawPrep!D9,FIND(" ",[1]DrawPrep!D9)+1),"")</f>
        <v>07. ΧΑΜΑΜΗΣ Ν</v>
      </c>
      <c r="K87" s="196" t="str">
        <f>"15. " &amp; IF([1]Setup!B19&gt;14,LEFT([1]DrawPrep!D17,FIND(" ",[1]DrawPrep!D17)+1),"")</f>
        <v>15. ΜΑΝΩΛΑΣ Ν</v>
      </c>
    </row>
    <row r="88" spans="7:11" hidden="1" x14ac:dyDescent="0.25">
      <c r="G88" s="195" t="str">
        <f>IF([1]Setup!$B$19&gt;7,LEFT([1]DrawPrep!D10,FIND(" ",[1]DrawPrep!D10)-1))</f>
        <v>ΑΝΑΓΝΩΣΤΟΠΟΥΛΟΣ</v>
      </c>
      <c r="I88" s="187" t="str">
        <f>"08. " &amp; IF([1]Setup!B19&gt;7,LEFT([1]DrawPrep!D10,FIND(" ",[1]DrawPrep!D10)+1),"")</f>
        <v>08. ΑΝΑΓΝΩΣΤΟΠΟΥΛΟΣ Σ</v>
      </c>
      <c r="K88" s="196" t="str">
        <f>"16. " &amp; IF([1]Setup!B19&gt;15,LEFT([1]DrawPrep!D18,FIND(" ",[1]DrawPrep!D18)+1),"")</f>
        <v>16. ΚΑΒΑΛΛΑΣ Θ</v>
      </c>
    </row>
    <row r="89" spans="7:11" hidden="1" x14ac:dyDescent="0.25">
      <c r="G89" s="195" t="str">
        <f>IF([1]Setup!$B$19&gt;8,LEFT([1]DrawPrep!D11,FIND(" ",[1]DrawPrep!D11)-1))</f>
        <v>ΓΟΥΤΑΣ</v>
      </c>
    </row>
    <row r="90" spans="7:11" hidden="1" x14ac:dyDescent="0.25">
      <c r="G90" s="195" t="str">
        <f>IF([1]Setup!$B$19&gt;9,LEFT([1]DrawPrep!D12,FIND(" ",[1]DrawPrep!D12)-1))</f>
        <v>ΞΥΛΑΣ</v>
      </c>
    </row>
    <row r="91" spans="7:11" hidden="1" x14ac:dyDescent="0.25">
      <c r="G91" s="195" t="str">
        <f>IF([1]Setup!$B$19&gt;10,LEFT([1]DrawPrep!D13,FIND(" ",[1]DrawPrep!D13)-1))</f>
        <v>ΠΟΛΙΤΗΣ</v>
      </c>
    </row>
    <row r="92" spans="7:11" hidden="1" x14ac:dyDescent="0.25">
      <c r="G92" s="195" t="str">
        <f>IF([1]Setup!$B$19&gt;11,LEFT([1]DrawPrep!D14,FIND(" ",[1]DrawPrep!D14)-1))</f>
        <v>ΚΟΣΜΑΣ</v>
      </c>
    </row>
    <row r="93" spans="7:11" hidden="1" x14ac:dyDescent="0.25">
      <c r="G93" s="195" t="str">
        <f>IF([1]Setup!$B$19&gt;12,LEFT([1]DrawPrep!D15,FIND(" ",[1]DrawPrep!D15)-1))</f>
        <v>ΠΟΛΥΔΑΚΗΣ</v>
      </c>
    </row>
    <row r="94" spans="7:11" hidden="1" x14ac:dyDescent="0.25">
      <c r="G94" s="195" t="str">
        <f>IF([1]Setup!$B$19&gt;13,LEFT([1]DrawPrep!D16,FIND(" ",[1]DrawPrep!D16)-1))</f>
        <v>ΑΝΔΡΟΥΤΣΕΛΗΣ</v>
      </c>
    </row>
    <row r="95" spans="7:11" hidden="1" x14ac:dyDescent="0.25">
      <c r="G95" s="195" t="str">
        <f>IF([1]Setup!$B$19&gt;14,LEFT([1]DrawPrep!D17,FIND(" ",[1]DrawPrep!D17)-1))</f>
        <v>ΜΑΝΩΛΑΣ</v>
      </c>
    </row>
    <row r="96" spans="7:11" hidden="1" x14ac:dyDescent="0.25">
      <c r="G96" s="195" t="str">
        <f>IF([1]Setup!$B$19&gt;15,LEFT([1]DrawPrep!D18,FIND(" ",[1]DrawPrep!D18)-1))</f>
        <v>ΚΑΒΑΛΛΑΣ</v>
      </c>
    </row>
    <row r="97" spans="7:7" ht="11.4" x14ac:dyDescent="0.25">
      <c r="G97" s="197"/>
    </row>
    <row r="98" spans="7:7" ht="11.4" x14ac:dyDescent="0.25">
      <c r="G98" s="197"/>
    </row>
    <row r="99" spans="7:7" ht="11.4" x14ac:dyDescent="0.25">
      <c r="G99" s="197"/>
    </row>
    <row r="100" spans="7:7" ht="11.4" x14ac:dyDescent="0.25">
      <c r="G100" s="197"/>
    </row>
    <row r="101" spans="7:7" ht="11.4" x14ac:dyDescent="0.25">
      <c r="G101" s="197"/>
    </row>
    <row r="102" spans="7:7" ht="11.4" x14ac:dyDescent="0.25">
      <c r="G102" s="197"/>
    </row>
    <row r="103" spans="7:7" ht="11.4" x14ac:dyDescent="0.25">
      <c r="G103" s="197"/>
    </row>
    <row r="104" spans="7:7" ht="11.4" x14ac:dyDescent="0.25">
      <c r="G104" s="197"/>
    </row>
    <row r="105" spans="7:7" ht="11.4" x14ac:dyDescent="0.25">
      <c r="G105" s="197"/>
    </row>
  </sheetData>
  <sheetProtection formatCells="0" formatColumns="0" formatRows="0"/>
  <protectedRanges>
    <protectedRange sqref="M7 M11 M15 M19 M23 M27 M31 M35 M39 M43 M47 M51 M55 M59 M63 M67 O7 O11 O15 O19 O23 O27 O31 O35 O39 O43 O47 O51 O55 O59 O63 O67" name="scoresR2"/>
    <protectedRange sqref="K6 K8 K10 K12 K14 K16 K18 K20 K22 K24 K26 K28 K30 K32 K34 K36 K38 K40 K42 K44 K46 K48 K50 K52 K54 K56 K58 K60 K62 K64 K66 K68" name="scoresR1"/>
    <protectedRange sqref="A2" name="winnersR3"/>
    <protectedRange sqref="D5:D68" name="seeds"/>
    <protectedRange sqref="J5 J7 J9 J11 J13 J15 J17 J19 J21 J23 J25 J27 J29 J31 J33 J35 J37 J39 J41 J43 J45 J47 J49 J51 J53 J55 J57 J59 J61 J63 J65 J67" name="winnersR1"/>
    <protectedRange sqref="L6 L10 L14 L18 L22 L26 L30 L34 L38 L42 L46 L50 L54 L58 L62 L66 N6 N10 N14 N18 N22 N26 N30 N34 N38 N42 N46 N50 N54 N58 N62 N66 N8 N16 N24 N32 N40 N48 N56 N64" name="WinnersR2_1"/>
  </protectedRanges>
  <mergeCells count="6">
    <mergeCell ref="D73:M73"/>
    <mergeCell ref="A1:L1"/>
    <mergeCell ref="G3:I3"/>
    <mergeCell ref="D70:E70"/>
    <mergeCell ref="D71:M71"/>
    <mergeCell ref="D72:M72"/>
  </mergeCells>
  <conditionalFormatting sqref="K5 K7 K9 K11 K13 K15 K17 K19 K21 K23 K25 K27 K29 K31 K33 K35 K37 K39 K41 K43 K45 K47 K49 K51 K53 K55 K57 K59 K61 K63 K65 K67 M6 M10 M14 M18 M22 M26 M30 M34 M38 M42 M46 M50 M54 M58 M62 M66 O10 O14 O18 O22 O26 O30 O34 O38 O42 O46 O50 O54 O58 O62 O66">
    <cfRule type="expression" dxfId="13" priority="10">
      <formula>MATCH(K5,$G$81:$G$96,0)</formula>
    </cfRule>
  </conditionalFormatting>
  <conditionalFormatting sqref="O6">
    <cfRule type="expression" dxfId="12" priority="9">
      <formula>MATCH(O6,$G$81:$G$96,0)</formula>
    </cfRule>
  </conditionalFormatting>
  <conditionalFormatting sqref="O8">
    <cfRule type="expression" dxfId="11" priority="8">
      <formula>MATCH(O8,$G$81:$G$96,0)</formula>
    </cfRule>
  </conditionalFormatting>
  <conditionalFormatting sqref="O16">
    <cfRule type="expression" dxfId="10" priority="7">
      <formula>MATCH(O16,$G$81:$G$96,0)</formula>
    </cfRule>
  </conditionalFormatting>
  <conditionalFormatting sqref="O24">
    <cfRule type="expression" dxfId="9" priority="6">
      <formula>MATCH(O24,$G$81:$G$96,0)</formula>
    </cfRule>
  </conditionalFormatting>
  <conditionalFormatting sqref="O32">
    <cfRule type="expression" dxfId="8" priority="5">
      <formula>MATCH(O32,$G$81:$G$96,0)</formula>
    </cfRule>
  </conditionalFormatting>
  <conditionalFormatting sqref="O40">
    <cfRule type="expression" dxfId="7" priority="4">
      <formula>MATCH(O40,$G$81:$G$96,0)</formula>
    </cfRule>
  </conditionalFormatting>
  <conditionalFormatting sqref="O48">
    <cfRule type="expression" dxfId="6" priority="3">
      <formula>MATCH(O48,$G$81:$G$96,0)</formula>
    </cfRule>
  </conditionalFormatting>
  <conditionalFormatting sqref="O64">
    <cfRule type="expression" dxfId="5" priority="2">
      <formula>MATCH(O64,$G$81:$G$96,0)</formula>
    </cfRule>
  </conditionalFormatting>
  <conditionalFormatting sqref="O56">
    <cfRule type="expression" dxfId="4" priority="1">
      <formula>MATCH(O56,$G$81:$G$96,0)</formula>
    </cfRule>
  </conditionalFormatting>
  <printOptions horizontalCentered="1"/>
  <pageMargins left="0.39370078740157483" right="0.39370078740157483" top="0.39370078740157483" bottom="0.39370078740157483" header="0.51181102362204722" footer="0.51181102362204722"/>
  <pageSetup paperSize="9"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Line="0" autoPict="0" macro="[1]!Sheet2pdf">
                <anchor moveWithCells="1" sizeWithCells="1">
                  <from>
                    <xdr:col>15</xdr:col>
                    <xdr:colOff>266700</xdr:colOff>
                    <xdr:row>4</xdr:row>
                    <xdr:rowOff>0</xdr:rowOff>
                  </from>
                  <to>
                    <xdr:col>17</xdr:col>
                    <xdr:colOff>228600</xdr:colOff>
                    <xdr:row>6</xdr:row>
                    <xdr:rowOff>99060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D2E7A-BEBF-4442-839E-B17E6FF8BD8E}">
  <sheetPr codeName="Sheet9">
    <tabColor rgb="FFFFFF00"/>
    <pageSetUpPr fitToPage="1"/>
  </sheetPr>
  <dimension ref="A1:S48"/>
  <sheetViews>
    <sheetView showGridLines="0" showZeros="0" zoomScale="115" zoomScaleNormal="115" workbookViewId="0">
      <pane ySplit="1" topLeftCell="A2" activePane="bottomLeft" state="frozen"/>
      <selection pane="bottomLeft" activeCell="G7" sqref="G7"/>
    </sheetView>
  </sheetViews>
  <sheetFormatPr defaultColWidth="5.109375" defaultRowHeight="10.199999999999999" x14ac:dyDescent="0.25"/>
  <cols>
    <col min="1" max="1" width="2.44140625" style="13" bestFit="1" customWidth="1"/>
    <col min="2" max="2" width="2.44140625" style="13" hidden="1" customWidth="1"/>
    <col min="3" max="3" width="6" style="14" hidden="1" customWidth="1"/>
    <col min="4" max="4" width="5.33203125" style="15" hidden="1" customWidth="1"/>
    <col min="5" max="5" width="4.6640625" style="15" hidden="1" customWidth="1"/>
    <col min="6" max="6" width="3" style="13" hidden="1" customWidth="1"/>
    <col min="7" max="7" width="3.44140625" style="14" bestFit="1" customWidth="1"/>
    <col min="8" max="8" width="3.21875" style="14" bestFit="1" customWidth="1"/>
    <col min="9" max="9" width="4.77734375" style="236" bestFit="1" customWidth="1"/>
    <col min="10" max="10" width="30" style="13" customWidth="1"/>
    <col min="11" max="11" width="20.5546875" style="13" hidden="1" customWidth="1"/>
    <col min="12" max="12" width="16" style="13" customWidth="1"/>
    <col min="13" max="13" width="1.44140625" style="91" bestFit="1" customWidth="1"/>
    <col min="14" max="14" width="14.109375" style="13" bestFit="1" customWidth="1"/>
    <col min="15" max="15" width="1.44140625" style="39" bestFit="1" customWidth="1"/>
    <col min="16" max="16" width="14.109375" style="13" bestFit="1" customWidth="1"/>
    <col min="17" max="17" width="1.44140625" style="39" bestFit="1" customWidth="1"/>
    <col min="18" max="18" width="14.109375" style="21" bestFit="1" customWidth="1"/>
    <col min="19" max="19" width="0.88671875" style="37" customWidth="1"/>
    <col min="20" max="16384" width="5.109375" style="13"/>
  </cols>
  <sheetData>
    <row r="1" spans="1:19" s="4" customFormat="1" ht="16.8" x14ac:dyDescent="0.25">
      <c r="A1" s="308" t="str">
        <f>[2]Setup!B3 &amp; ", " &amp; [2]Setup!B4 &amp; ", " &amp; [2]Setup!B6 &amp; ", " &amp; [2]Setup!B8 &amp; "-" &amp; [2]Setup!B9</f>
        <v>Η ΕΝΩΣΗ, ΟΡΕΝ MASTER, ΑΟΑ ΦΙΛΟΘΕΗΣ, 17-22 Οκτ</v>
      </c>
      <c r="B1" s="308"/>
      <c r="C1" s="308"/>
      <c r="D1" s="308"/>
      <c r="E1" s="308"/>
      <c r="F1" s="308"/>
      <c r="G1" s="308"/>
      <c r="H1" s="308"/>
      <c r="I1" s="308"/>
      <c r="J1" s="308"/>
      <c r="K1" s="308"/>
      <c r="L1" s="308"/>
      <c r="M1" s="308"/>
      <c r="N1" s="308"/>
      <c r="O1" s="308"/>
      <c r="P1" s="308"/>
      <c r="Q1" s="198"/>
      <c r="R1" s="230" t="str">
        <f>[2]Setup!B7</f>
        <v>ms md</v>
      </c>
      <c r="S1" s="231"/>
    </row>
    <row r="2" spans="1:19" x14ac:dyDescent="0.25">
      <c r="A2" s="232"/>
      <c r="B2" s="204">
        <f>[2]Setup!$B$18</f>
        <v>0</v>
      </c>
      <c r="C2" s="204"/>
      <c r="D2" s="233"/>
      <c r="E2" s="233"/>
      <c r="G2" s="234"/>
      <c r="H2" s="234"/>
      <c r="I2" s="234" t="s">
        <v>17</v>
      </c>
      <c r="J2" s="234"/>
      <c r="K2" s="234"/>
      <c r="L2" s="234"/>
      <c r="M2" s="234"/>
      <c r="N2" s="234" t="s">
        <v>18</v>
      </c>
      <c r="O2" s="234"/>
      <c r="P2" s="234" t="s">
        <v>19</v>
      </c>
      <c r="Q2" s="234"/>
      <c r="R2" s="234" t="s">
        <v>20</v>
      </c>
      <c r="S2" s="235"/>
    </row>
    <row r="3" spans="1:19" x14ac:dyDescent="0.25">
      <c r="J3" s="309">
        <v>16</v>
      </c>
      <c r="K3" s="309"/>
      <c r="L3" s="309"/>
      <c r="M3" s="17"/>
      <c r="N3" s="18">
        <v>8</v>
      </c>
      <c r="O3" s="19"/>
      <c r="P3" s="18">
        <v>4</v>
      </c>
      <c r="Q3" s="19"/>
      <c r="R3" s="20">
        <v>2</v>
      </c>
      <c r="S3" s="202"/>
    </row>
    <row r="4" spans="1:19" s="14" customFormat="1" x14ac:dyDescent="0.25">
      <c r="A4" s="22" t="s">
        <v>1</v>
      </c>
      <c r="B4" s="23"/>
      <c r="C4" s="24" t="s">
        <v>2</v>
      </c>
      <c r="D4" s="24" t="s">
        <v>3</v>
      </c>
      <c r="E4" s="24" t="s">
        <v>4</v>
      </c>
      <c r="F4" s="22" t="s">
        <v>21</v>
      </c>
      <c r="G4" s="22" t="s">
        <v>5</v>
      </c>
      <c r="H4" s="22" t="s">
        <v>14</v>
      </c>
      <c r="I4" s="22" t="s">
        <v>6</v>
      </c>
      <c r="J4" s="25" t="s">
        <v>7</v>
      </c>
      <c r="K4" s="24" t="s">
        <v>8</v>
      </c>
      <c r="L4" s="25" t="s">
        <v>9</v>
      </c>
      <c r="M4" s="6"/>
      <c r="O4" s="26"/>
      <c r="Q4" s="26"/>
      <c r="R4" s="27"/>
      <c r="S4" s="204"/>
    </row>
    <row r="5" spans="1:19" ht="12" customHeight="1" x14ac:dyDescent="0.25">
      <c r="A5" s="237">
        <v>1</v>
      </c>
      <c r="B5" s="238">
        <v>1</v>
      </c>
      <c r="C5" s="239"/>
      <c r="D5" s="240"/>
      <c r="E5" s="241">
        <v>0</v>
      </c>
      <c r="F5" s="242">
        <f>IF(NOT($G5="-"),VLOOKUP($G5,[2]DrawPrep!$A$3:$G$18,2,FALSE),"")</f>
        <v>0</v>
      </c>
      <c r="G5" s="243">
        <f>VLOOKUP($B5,[2]Setup!$G$12:$H$27,2,FALSE)</f>
        <v>1</v>
      </c>
      <c r="H5" s="163">
        <f>IF($G5&gt;0,VLOOKUP($G5,[2]DrawPrep!$A$3:$G$18,6,FALSE),0)</f>
        <v>10.5</v>
      </c>
      <c r="I5" s="164">
        <f>IF([2]Setup!$B$24="#",0,IF($G5&gt;0,VLOOKUP($G5,[2]DrawPrep!$A$3:$G$18,3,FALSE),0))</f>
        <v>14059</v>
      </c>
      <c r="J5" s="165" t="str">
        <f>IF($I5&gt;0,VLOOKUP($I5,[2]DrawPrep!$C$3:$G$18,2,FALSE),"bye")</f>
        <v>ΓΕΜΟΥΧΙΔΗΣ ΠΑΡΙΣ</v>
      </c>
      <c r="K5" s="165" t="str">
        <f>IF(NOT(I5&gt;0),"", IF(ISERROR(FIND("-",J5)), LEFT(J5,FIND(" ",J5)-1), IF(FIND("-",J5)&gt;FIND(" ",J5),LEFT(J5,FIND(" ",J5)-1), LEFT(J5,FIND("-",J5)-1) )))</f>
        <v>ΓΕΜΟΥΧΙΔΗΣ</v>
      </c>
      <c r="L5" s="35" t="str">
        <f>IF($I5&gt;0,VLOOKUP($I5,[2]DrawPrep!$C$3:$G$18,3,FALSE),"")</f>
        <v>ΟΑ ΓΛΥΦΑΔΑΣ</v>
      </c>
      <c r="M5" s="66"/>
      <c r="N5" s="49" t="str">
        <f>UPPER(IF($A$2="R",IF(OR(M5=1,M5="a"),I5,IF(OR(M5=2,M5="b"),I6,"")),IF(OR(M5=1,M5="1"),K5,IF(OR(M5=2,M5="b"),K6,""))))</f>
        <v/>
      </c>
      <c r="O5" s="37"/>
      <c r="P5" s="38"/>
      <c r="R5" s="38"/>
    </row>
    <row r="6" spans="1:19" ht="12" customHeight="1" x14ac:dyDescent="0.25">
      <c r="A6" s="244">
        <v>2</v>
      </c>
      <c r="B6" s="245">
        <f>1-D6+4</f>
        <v>5</v>
      </c>
      <c r="C6" s="246">
        <v>1</v>
      </c>
      <c r="D6" s="247">
        <f>E6</f>
        <v>0</v>
      </c>
      <c r="E6" s="248">
        <f>IF($B$2&gt;=C6,1,0)</f>
        <v>0</v>
      </c>
      <c r="F6" s="221">
        <f>IF(NOT($G6="-"),VLOOKUP($G6,[2]DrawPrep!$A$3:$G$18,2,FALSE),"")</f>
        <v>0</v>
      </c>
      <c r="G6" s="221">
        <f>IF($B$2&gt;=C6,"-",VLOOKUP($B6,[2]Setup!$G$12:$H$27,2,FALSE))</f>
        <v>14</v>
      </c>
      <c r="H6" s="168">
        <f>IF(NOT($G6="-"),VLOOKUP($G6,[2]DrawPrep!$A$3:$G$18,6,FALSE),0)</f>
        <v>0</v>
      </c>
      <c r="I6" s="168">
        <f>IF([2]Setup!$B$24="#",0,IF(NOT($G6="-"),VLOOKUP($G6,[2]DrawPrep!$A$3:$G$18,3,FALSE),0))</f>
        <v>6</v>
      </c>
      <c r="J6" s="169" t="str">
        <f>IF($I6&gt;0,VLOOKUP($I6,[2]DrawPrep!$C$3:$G$18,2,FALSE),"bye")</f>
        <v>q</v>
      </c>
      <c r="K6" s="169" t="e">
        <f t="shared" ref="K6:K20" si="0">IF(NOT(I6&gt;0),"", IF(ISERROR(FIND("-",J6)), LEFT(J6,FIND(" ",J6)-1), IF(FIND("-",J6)&gt;FIND(" ",J6),LEFT(J6,FIND(" ",J6)-1), LEFT(J6,FIND("-",J6)-1) )))</f>
        <v>#VALUE!</v>
      </c>
      <c r="L6" s="82">
        <f>IF($I6&gt;0,VLOOKUP($I6,[2]DrawPrep!$C$3:$G$18,3,FALSE),"")</f>
        <v>0</v>
      </c>
      <c r="M6" s="81"/>
      <c r="N6" s="58"/>
      <c r="O6" s="66"/>
      <c r="P6" s="49" t="str">
        <f>UPPER(IF($A$2="R",IF(OR(O6=1,O6="a"),N5,IF(OR(O6=2,O6="b"),N7,"")),IF(OR(O6=1,O6="a"),N5,IF(OR(O6=2,O6="b"),N7,""))))</f>
        <v/>
      </c>
      <c r="Q6" s="37"/>
      <c r="R6" s="38"/>
    </row>
    <row r="7" spans="1:19" ht="12" customHeight="1" x14ac:dyDescent="0.25">
      <c r="A7" s="249">
        <v>3</v>
      </c>
      <c r="B7" s="245">
        <f>2-D7+4</f>
        <v>6</v>
      </c>
      <c r="C7" s="250"/>
      <c r="D7" s="247">
        <f t="shared" ref="D7:D20" si="1">D6+E7</f>
        <v>0</v>
      </c>
      <c r="E7" s="251">
        <v>0</v>
      </c>
      <c r="F7" s="252">
        <f>IF(NOT($G7="-"),VLOOKUP($G7,[2]DrawPrep!$A$3:$G$18,2,FALSE),"")</f>
        <v>0</v>
      </c>
      <c r="G7" s="252">
        <v>5</v>
      </c>
      <c r="H7" s="212">
        <f>IF($G7&gt;0,VLOOKUP($G7,[2]DrawPrep!$A$3:$G$18,6,FALSE),0)</f>
        <v>4.25</v>
      </c>
      <c r="I7" s="212">
        <f>IF([2]Setup!$B$24="#",0,IF($G7&gt;0,VLOOKUP($G7,[2]DrawPrep!$A$3:$G$18,3,FALSE),0))</f>
        <v>29544</v>
      </c>
      <c r="J7" s="253" t="str">
        <f>IF($I7&gt;0,VLOOKUP($I7,[2]DrawPrep!$C$3:$G$18,2,FALSE),"bye")</f>
        <v>ΚΩΣΤΙΚΟΓΛΟΥ ΜΙΧΑΛΗΣ</v>
      </c>
      <c r="K7" s="253" t="str">
        <f t="shared" si="0"/>
        <v>ΚΩΣΤΙΚΟΓΛΟΥ</v>
      </c>
      <c r="L7" s="70" t="str">
        <f>IF($I7&gt;0,VLOOKUP($I7,[2]DrawPrep!$C$3:$G$18,3,FALSE),"")</f>
        <v>ΑΟΑ ΦΙΛΟΘΕΗΣ</v>
      </c>
      <c r="M7" s="66"/>
      <c r="N7" s="49" t="str">
        <f>UPPER(IF($A$2="R",IF(OR(M7=1,M7="a"),I7,IF(OR(M7=2,M7="b"),I8,"")),IF(OR(M7=1,M7="a"),K7,IF(OR(M7=2,M7="b"),K8,""))))</f>
        <v/>
      </c>
      <c r="O7" s="81"/>
      <c r="P7" s="58"/>
      <c r="Q7" s="37"/>
      <c r="R7" s="38"/>
    </row>
    <row r="8" spans="1:19" ht="12" customHeight="1" x14ac:dyDescent="0.25">
      <c r="A8" s="254">
        <v>4</v>
      </c>
      <c r="B8" s="245">
        <f>3-D8+4</f>
        <v>7</v>
      </c>
      <c r="C8" s="246">
        <v>7</v>
      </c>
      <c r="D8" s="247">
        <f t="shared" si="1"/>
        <v>0</v>
      </c>
      <c r="E8" s="248">
        <f>IF($B$2&gt;=C8,1,0)</f>
        <v>0</v>
      </c>
      <c r="F8" s="255">
        <f>IF(NOT($G8="-"),VLOOKUP($G8,[2]DrawPrep!$A$3:$G$18,2,FALSE),"")</f>
        <v>0</v>
      </c>
      <c r="G8" s="255">
        <f>IF($B$2&gt;=C8,"-",VLOOKUP($B8,[2]Setup!$G$12:$H$27,2,FALSE))</f>
        <v>13</v>
      </c>
      <c r="H8" s="213">
        <f>IF(NOT($G8="-"),VLOOKUP($G8,[2]DrawPrep!$A$3:$G$18,6,FALSE),0)</f>
        <v>0</v>
      </c>
      <c r="I8" s="213">
        <f>IF([2]Setup!$B$24="#",0,IF(NOT($G8="-"),VLOOKUP($G8,[2]DrawPrep!$A$3:$G$18,3,FALSE),0))</f>
        <v>5</v>
      </c>
      <c r="J8" s="256" t="str">
        <f>IF($I8&gt;0,VLOOKUP($I8,[2]DrawPrep!$C$3:$G$18,2,FALSE),"bye")</f>
        <v>q</v>
      </c>
      <c r="K8" s="256" t="e">
        <f t="shared" si="0"/>
        <v>#VALUE!</v>
      </c>
      <c r="L8" s="76">
        <f>IF($I8&gt;0,VLOOKUP($I8,[2]DrawPrep!$C$3:$G$18,3,FALSE),"")</f>
        <v>0</v>
      </c>
      <c r="M8" s="81"/>
      <c r="N8" s="15"/>
      <c r="O8" s="37"/>
      <c r="P8" s="65"/>
      <c r="Q8" s="48"/>
      <c r="R8" s="168" t="str">
        <f>UPPER(IF($A$2="R",IF(OR(Q8=1,Q8="a"),P6,IF(OR(Q8=2,Q8="b"),P10,"")),IF(OR(Q8=1,Q8="a"),P6,IF(OR(Q8=2,Q8="b"),P10,""))))</f>
        <v/>
      </c>
    </row>
    <row r="9" spans="1:19" ht="12" customHeight="1" x14ac:dyDescent="0.25">
      <c r="A9" s="237">
        <v>5</v>
      </c>
      <c r="B9" s="238">
        <f>VALUE([2]Setup!E2)</f>
        <v>4</v>
      </c>
      <c r="C9" s="250"/>
      <c r="D9" s="247">
        <f t="shared" si="1"/>
        <v>0</v>
      </c>
      <c r="E9" s="251">
        <v>0</v>
      </c>
      <c r="F9" s="242">
        <f>IF(NOT($G9="-"),VLOOKUP($G9,[2]DrawPrep!$A$3:$G$18,2,FALSE),"")</f>
        <v>0</v>
      </c>
      <c r="G9" s="243">
        <f>VLOOKUP($B9,[2]Setup!$G$12:$H$27,2,FALSE)</f>
        <v>4</v>
      </c>
      <c r="H9" s="163">
        <f>IF($G9&gt;0,VLOOKUP($G9,[2]DrawPrep!$A$3:$G$18,6,FALSE),0)</f>
        <v>5</v>
      </c>
      <c r="I9" s="164">
        <f>IF([2]Setup!$B$24="#",0,IF($G9&gt;0,VLOOKUP($G9,[2]DrawPrep!$A$3:$G$18,3,FALSE),0))</f>
        <v>30054</v>
      </c>
      <c r="J9" s="165" t="str">
        <f>IF($I9&gt;0,VLOOKUP($I9,[2]DrawPrep!$C$3:$G$18,2,FALSE),"bye")</f>
        <v>ΣΑΚΕΛΛΑΡΙΔΗΣ ΜΙΧΑΛΗΣ</v>
      </c>
      <c r="K9" s="165" t="str">
        <f t="shared" si="0"/>
        <v>ΣΑΚΕΛΛΑΡΙΔΗΣ</v>
      </c>
      <c r="L9" s="35" t="str">
        <f>IF($I9&gt;0,VLOOKUP($I9,[2]DrawPrep!$C$3:$G$18,3,FALSE),"")</f>
        <v>ΑΟΑ ΠΑΠΑΓΟΥ</v>
      </c>
      <c r="M9" s="167"/>
      <c r="N9" s="49" t="str">
        <f>UPPER(IF($A$2="R",IF(OR(M9=1,M9="a"),I9,IF(OR(M9=2,M9="b"),I10,"")),IF(OR(M9=1,M9="a"),K9,IF(OR(M9=2,M9="b"),K10,""))))</f>
        <v/>
      </c>
      <c r="O9" s="37"/>
      <c r="P9" s="65"/>
      <c r="Q9" s="37"/>
      <c r="R9" s="257"/>
    </row>
    <row r="10" spans="1:19" ht="12" customHeight="1" x14ac:dyDescent="0.25">
      <c r="A10" s="244">
        <v>6</v>
      </c>
      <c r="B10" s="245">
        <f>4-D10+4</f>
        <v>8</v>
      </c>
      <c r="C10" s="258">
        <f>IF([2]Setup!E2=3,3,4)</f>
        <v>4</v>
      </c>
      <c r="D10" s="247">
        <f t="shared" si="1"/>
        <v>0</v>
      </c>
      <c r="E10" s="248">
        <f>IF($B$2&gt;=C10,1,0)</f>
        <v>0</v>
      </c>
      <c r="F10" s="221">
        <f>IF(NOT($G10="-"),VLOOKUP($G10,[2]DrawPrep!$A$3:$G$18,2,FALSE),"")</f>
        <v>0</v>
      </c>
      <c r="G10" s="221">
        <f>IF($B$2&gt;=C10,"-",VLOOKUP($B10,[2]Setup!$G$12:$H$27,2,FALSE))</f>
        <v>10</v>
      </c>
      <c r="H10" s="168">
        <f>IF(NOT($G10="-"),VLOOKUP($G10,[2]DrawPrep!$A$3:$G$18,6,FALSE),0)</f>
        <v>0</v>
      </c>
      <c r="I10" s="168">
        <f>IF([2]Setup!$B$24="#",0,IF(NOT($G10="-"),VLOOKUP($G10,[2]DrawPrep!$A$3:$G$18,3,FALSE),0))</f>
        <v>2</v>
      </c>
      <c r="J10" s="169" t="str">
        <f>IF($I10&gt;0,VLOOKUP($I10,[2]DrawPrep!$C$3:$G$18,2,FALSE),"bye")</f>
        <v>q</v>
      </c>
      <c r="K10" s="169" t="e">
        <f t="shared" si="0"/>
        <v>#VALUE!</v>
      </c>
      <c r="L10" s="82">
        <f>IF($I10&gt;0,VLOOKUP($I10,[2]DrawPrep!$C$3:$G$18,3,FALSE),"")</f>
        <v>0</v>
      </c>
      <c r="M10" s="81"/>
      <c r="N10" s="58"/>
      <c r="O10" s="66"/>
      <c r="P10" s="49" t="str">
        <f>UPPER(IF($A$2="R",IF(OR(O10=1,O10="a"),N9,IF(OR(O10=2,O10="b"),N11,"")),IF(OR(O10=1,O10="a"),N9,IF(OR(O10=2,O10="b"),N11,""))))</f>
        <v/>
      </c>
      <c r="Q10" s="214"/>
      <c r="R10" s="259"/>
    </row>
    <row r="11" spans="1:19" ht="12" customHeight="1" x14ac:dyDescent="0.25">
      <c r="A11" s="249">
        <v>7</v>
      </c>
      <c r="B11" s="245">
        <f>5-D11+4</f>
        <v>9</v>
      </c>
      <c r="C11" s="246">
        <v>5</v>
      </c>
      <c r="D11" s="247">
        <f t="shared" si="1"/>
        <v>0</v>
      </c>
      <c r="E11" s="248">
        <f>IF($B$2&gt;=C11,1,0)</f>
        <v>0</v>
      </c>
      <c r="F11" s="252">
        <f>IF(NOT($G11="-"),VLOOKUP($G11,[2]DrawPrep!$A$3:$G$18,2,FALSE),"")</f>
        <v>0</v>
      </c>
      <c r="G11" s="252">
        <f>IF($B$2&gt;=C11,"-",VLOOKUP($B11,[2]Setup!$G$12:$H$27,2,FALSE))</f>
        <v>16</v>
      </c>
      <c r="H11" s="212">
        <f>IF(NOT($G11="-"),VLOOKUP($G11,[2]DrawPrep!$A$3:$G$18,6,FALSE),0)</f>
        <v>0</v>
      </c>
      <c r="I11" s="212">
        <f>IF([2]Setup!$B$24="#",0,IF(NOT($G11="-"),VLOOKUP($G11,[2]DrawPrep!$A$3:$G$18,3,FALSE),0))</f>
        <v>8</v>
      </c>
      <c r="J11" s="253" t="str">
        <f>IF($I11&gt;0,VLOOKUP($I11,[2]DrawPrep!$C$3:$G$18,2,FALSE),"bye")</f>
        <v>q</v>
      </c>
      <c r="K11" s="253" t="e">
        <f t="shared" si="0"/>
        <v>#VALUE!</v>
      </c>
      <c r="L11" s="70">
        <f>IF($I11&gt;0,VLOOKUP($I11,[2]DrawPrep!$C$3:$G$18,3,FALSE),"")</f>
        <v>0</v>
      </c>
      <c r="M11" s="66"/>
      <c r="N11" s="49" t="str">
        <f>UPPER(IF($A$2="R",IF(OR(M11=1,M11="a"),I11,IF(OR(M11=2,M11="b"),I12,"")),IF(OR(M11=1,M11="a"),K11,IF(OR(M11=2,M11="b"),K12,""))))</f>
        <v/>
      </c>
      <c r="O11" s="81"/>
      <c r="P11" s="172"/>
      <c r="Q11" s="37"/>
      <c r="R11" s="259"/>
    </row>
    <row r="12" spans="1:19" ht="12" customHeight="1" x14ac:dyDescent="0.25">
      <c r="A12" s="254">
        <v>8</v>
      </c>
      <c r="B12" s="245">
        <f>6-D12+4</f>
        <v>10</v>
      </c>
      <c r="C12" s="250"/>
      <c r="D12" s="247">
        <f t="shared" si="1"/>
        <v>0</v>
      </c>
      <c r="E12" s="251">
        <v>0</v>
      </c>
      <c r="F12" s="255" t="str">
        <f>IF(NOT($G12="-"),VLOOKUP($G12,[2]DrawPrep!$A$3:$G$18,2,FALSE),"")</f>
        <v>wc</v>
      </c>
      <c r="G12" s="260">
        <v>8</v>
      </c>
      <c r="H12" s="213">
        <f>IF($G12&gt;0,VLOOKUP($G12,[2]DrawPrep!$A$3:$G$18,6,FALSE),0)</f>
        <v>1.5</v>
      </c>
      <c r="I12" s="213">
        <f>IF([2]Setup!$B$24="#",0,IF($G12&gt;0,VLOOKUP($G12,[2]DrawPrep!$A$3:$G$18,3,FALSE),0))</f>
        <v>21744</v>
      </c>
      <c r="J12" s="256" t="str">
        <f>IF($I12&gt;0,VLOOKUP($I12,[2]DrawPrep!$C$3:$G$18,2,FALSE),"bye")</f>
        <v>ΚΑΛΟΒΕΛΩΝΗΣ ΜΑΡΚΟΣ</v>
      </c>
      <c r="K12" s="256" t="str">
        <f t="shared" si="0"/>
        <v>ΚΑΛΟΒΕΛΩΝΗΣ</v>
      </c>
      <c r="L12" s="76" t="str">
        <f>IF($I12&gt;0,VLOOKUP($I12,[2]DrawPrep!$C$3:$G$18,3,FALSE),"")</f>
        <v>ΟΑ ΑΘΗΝΩΝ</v>
      </c>
      <c r="M12" s="81"/>
      <c r="N12" s="172"/>
      <c r="P12" s="38"/>
      <c r="Q12" s="48"/>
      <c r="R12" s="261" t="str">
        <f>UPPER(IF($A$2="R",IF(OR(Q12=1,Q12="a"),R8,IF(OR(Q12=2,Q12="b"),R16,"")),IF(OR(Q12=1,Q12="a"),R8,IF(OR(Q12=2,Q12="b"),R16,""))))</f>
        <v/>
      </c>
      <c r="S12" s="214"/>
    </row>
    <row r="13" spans="1:19" ht="12" customHeight="1" x14ac:dyDescent="0.25">
      <c r="A13" s="262">
        <v>9</v>
      </c>
      <c r="B13" s="238">
        <f>VALUE([2]Setup!E3)</f>
        <v>3</v>
      </c>
      <c r="C13" s="250"/>
      <c r="D13" s="247">
        <f t="shared" si="1"/>
        <v>0</v>
      </c>
      <c r="E13" s="251">
        <v>0</v>
      </c>
      <c r="F13" s="27">
        <f>IF(NOT($G13="-"),VLOOKUP($G13,[2]DrawPrep!$A$3:$G$18,2,FALSE),"")</f>
        <v>0</v>
      </c>
      <c r="G13" s="263">
        <f>VLOOKUP($B13,[2]Setup!$G$12:$H$27,2,FALSE)</f>
        <v>3</v>
      </c>
      <c r="H13" s="129">
        <f>IF($G13&gt;0,VLOOKUP($G13,[2]DrawPrep!$A$3:$G$18,6,FALSE),0)</f>
        <v>7.5</v>
      </c>
      <c r="I13" s="181">
        <f>IF([2]Setup!$B$24="#",0,IF($G13&gt;0,VLOOKUP($G13,[2]DrawPrep!$A$3:$G$18,3,FALSE),0))</f>
        <v>10888</v>
      </c>
      <c r="J13" s="182" t="str">
        <f>IF($I13&gt;0,VLOOKUP($I13,[2]DrawPrep!$C$3:$G$18,2,FALSE),"bye")</f>
        <v>ΜΟΥΡΑΤΟΓΛΟΥ ΑΡΙΣΤΟΤΕΛΗΣ</v>
      </c>
      <c r="K13" s="182" t="str">
        <f t="shared" si="0"/>
        <v>ΜΟΥΡΑΤΟΓΛΟΥ</v>
      </c>
      <c r="L13" s="47" t="str">
        <f>IF($I13&gt;0,VLOOKUP($I13,[2]DrawPrep!$C$3:$G$18,3,FALSE),"")</f>
        <v>ΑΟΑ ΦΙΛΟΘΕΗΣ</v>
      </c>
      <c r="M13" s="66"/>
      <c r="N13" s="49" t="str">
        <f>UPPER(IF($A$2="R",IF(OR(M13=1,M13="a"),I13,IF(OR(M13=2,M13="b"),I14,"")),IF(OR(M13=1,M13="a"),K13,IF(OR(M13=2,M13="b"),K14,""))))</f>
        <v/>
      </c>
      <c r="O13" s="37"/>
      <c r="P13" s="38"/>
      <c r="R13" s="264"/>
    </row>
    <row r="14" spans="1:19" ht="12" customHeight="1" x14ac:dyDescent="0.25">
      <c r="A14" s="262">
        <v>10</v>
      </c>
      <c r="B14" s="245">
        <f>7-D14+4</f>
        <v>11</v>
      </c>
      <c r="C14" s="258">
        <f>IF([2]Setup!E2=3,4,3)</f>
        <v>3</v>
      </c>
      <c r="D14" s="247">
        <f t="shared" si="1"/>
        <v>0</v>
      </c>
      <c r="E14" s="248">
        <f>IF($B$2&gt;=C14,1,0)</f>
        <v>0</v>
      </c>
      <c r="F14" s="27">
        <f>IF(NOT($G14="-"),VLOOKUP($G14,[2]DrawPrep!$A$3:$G$18,2,FALSE),"")</f>
        <v>0</v>
      </c>
      <c r="G14" s="27">
        <f>IF($B$2&gt;=C14,"-",VLOOKUP($B14,[2]Setup!$G$12:$H$27,2,FALSE))</f>
        <v>11</v>
      </c>
      <c r="H14" s="129">
        <f>IF(NOT($G14="-"),VLOOKUP($G14,[2]DrawPrep!$A$3:$G$18,6,FALSE),0)</f>
        <v>0</v>
      </c>
      <c r="I14" s="129">
        <f>IF([2]Setup!$B$24="#",0,IF(NOT($G14="-"),VLOOKUP($G14,[2]DrawPrep!$A$3:$G$18,3,FALSE),0))</f>
        <v>3</v>
      </c>
      <c r="J14" s="185" t="str">
        <f>IF($I14&gt;0,VLOOKUP($I14,[2]DrawPrep!$C$3:$G$18,2,FALSE),"bye")</f>
        <v>q</v>
      </c>
      <c r="K14" s="185" t="e">
        <f t="shared" si="0"/>
        <v>#VALUE!</v>
      </c>
      <c r="L14" s="64">
        <f>IF($I14&gt;0,VLOOKUP($I14,[2]DrawPrep!$C$3:$G$18,3,FALSE),"")</f>
        <v>0</v>
      </c>
      <c r="M14" s="81"/>
      <c r="N14" s="58"/>
      <c r="O14" s="66"/>
      <c r="P14" s="49" t="str">
        <f>UPPER(IF($A$2="R",IF(OR(O14=1,O14="a"),N13,IF(OR(O14=2,O14="b"),N15,"")),IF(OR(O14=1,O14="a"),N13,IF(OR(O14=2,O14="b"),N15,""))))</f>
        <v/>
      </c>
      <c r="Q14" s="37"/>
      <c r="R14" s="259"/>
    </row>
    <row r="15" spans="1:19" ht="12" customHeight="1" x14ac:dyDescent="0.25">
      <c r="A15" s="249">
        <v>11</v>
      </c>
      <c r="B15" s="245">
        <f>8-D15+4</f>
        <v>12</v>
      </c>
      <c r="C15" s="250"/>
      <c r="D15" s="247">
        <f t="shared" si="1"/>
        <v>0</v>
      </c>
      <c r="E15" s="251">
        <v>0</v>
      </c>
      <c r="F15" s="252">
        <f>IF(NOT($G15="-"),VLOOKUP($G15,[2]DrawPrep!$A$3:$G$18,2,FALSE),"")</f>
        <v>0</v>
      </c>
      <c r="G15" s="252">
        <f>VLOOKUP($B15,[2]Setup!$G$12:$H$27,2,FALSE)</f>
        <v>9</v>
      </c>
      <c r="H15" s="212">
        <f>IF($G15&gt;0,VLOOKUP($G15,[2]DrawPrep!$A$3:$G$18,6,FALSE),0)</f>
        <v>0</v>
      </c>
      <c r="I15" s="212">
        <f>IF([2]Setup!$B$24="#",0,IF($G15&gt;0,VLOOKUP($G15,[2]DrawPrep!$A$3:$G$18,3,FALSE),0))</f>
        <v>1</v>
      </c>
      <c r="J15" s="253" t="str">
        <f>IF($I15&gt;0,VLOOKUP($I15,[2]DrawPrep!$C$3:$G$18,2,FALSE),"bye")</f>
        <v>q</v>
      </c>
      <c r="K15" s="253" t="e">
        <f t="shared" si="0"/>
        <v>#VALUE!</v>
      </c>
      <c r="L15" s="70">
        <f>IF($I15&gt;0,VLOOKUP($I15,[2]DrawPrep!$C$3:$G$18,3,FALSE),"")</f>
        <v>0</v>
      </c>
      <c r="M15" s="66"/>
      <c r="N15" s="49" t="str">
        <f>UPPER(IF($A$2="R",IF(OR(M15=1,M15="a"),I15,IF(OR(M15=2,M15="b"),I16,"")),IF(OR(M15=1,M15="a"),K15,IF(OR(M15=2,M15="b"),K16,""))))</f>
        <v/>
      </c>
      <c r="O15" s="81"/>
      <c r="P15" s="58"/>
      <c r="Q15" s="37"/>
      <c r="R15" s="259"/>
    </row>
    <row r="16" spans="1:19" ht="12" customHeight="1" x14ac:dyDescent="0.25">
      <c r="A16" s="254">
        <v>12</v>
      </c>
      <c r="B16" s="245">
        <f>9-D16+4</f>
        <v>13</v>
      </c>
      <c r="C16" s="246">
        <v>6</v>
      </c>
      <c r="D16" s="247">
        <f t="shared" si="1"/>
        <v>0</v>
      </c>
      <c r="E16" s="248">
        <f>IF($B$2&gt;=C16,1,0)</f>
        <v>0</v>
      </c>
      <c r="F16" s="255">
        <f>IF(NOT($G16="-"),VLOOKUP($G16,[2]DrawPrep!$A$3:$G$18,2,FALSE),"")</f>
        <v>0</v>
      </c>
      <c r="G16" s="255">
        <v>7</v>
      </c>
      <c r="H16" s="213">
        <f>IF(NOT($G16="-"),VLOOKUP($G16,[2]DrawPrep!$A$3:$G$18,6,FALSE),0)</f>
        <v>3</v>
      </c>
      <c r="I16" s="213">
        <f>IF([2]Setup!$B$24="#",0,IF(NOT($G16="-"),VLOOKUP($G16,[2]DrawPrep!$A$3:$G$18,3,FALSE),0))</f>
        <v>15522</v>
      </c>
      <c r="J16" s="256" t="str">
        <f>IF($I16&gt;0,VLOOKUP($I16,[2]DrawPrep!$C$3:$G$18,2,FALSE),"bye")</f>
        <v>ΓΙΑΝΝΑΚΑΚΗΣ ΗΛΙΑΣ</v>
      </c>
      <c r="K16" s="256" t="str">
        <f t="shared" si="0"/>
        <v>ΓΙΑΝΝΑΚΑΚΗΣ</v>
      </c>
      <c r="L16" s="76" t="str">
        <f>IF($I16&gt;0,VLOOKUP($I16,[2]DrawPrep!$C$3:$G$18,3,FALSE),"")</f>
        <v>ΟΑ ΑΘΗΝΩΝ</v>
      </c>
      <c r="M16" s="71"/>
      <c r="N16" s="172"/>
      <c r="O16" s="37"/>
      <c r="P16" s="65"/>
      <c r="Q16" s="48"/>
      <c r="R16" s="265" t="str">
        <f>UPPER(IF($A$2="R",IF(OR(Q16=1,Q16="a"),P14,IF(OR(Q16=2,Q16="b"),P18,"")),IF(OR(Q16=1,Q16="a"),P14,IF(OR(Q16=2,Q16="b"),P18,""))))</f>
        <v/>
      </c>
      <c r="S16" s="214"/>
    </row>
    <row r="17" spans="1:19" ht="12" customHeight="1" x14ac:dyDescent="0.25">
      <c r="A17" s="262">
        <v>13</v>
      </c>
      <c r="B17" s="245">
        <f>10-D17+4</f>
        <v>14</v>
      </c>
      <c r="C17" s="250"/>
      <c r="D17" s="247">
        <f t="shared" si="1"/>
        <v>0</v>
      </c>
      <c r="E17" s="251">
        <v>0</v>
      </c>
      <c r="F17" s="27">
        <f>IF(NOT($G17="-"),VLOOKUP($G17,[2]DrawPrep!$A$3:$G$18,2,FALSE),"")</f>
        <v>0</v>
      </c>
      <c r="G17" s="27">
        <v>12</v>
      </c>
      <c r="H17" s="129">
        <f>IF($G17&gt;0,VLOOKUP($G17,[2]DrawPrep!$A$3:$G$18,6,FALSE),0)</f>
        <v>0</v>
      </c>
      <c r="I17" s="129">
        <f>IF([2]Setup!$B$24="#",0,IF($G17&gt;0,VLOOKUP($G17,[2]DrawPrep!$A$3:$G$18,3,FALSE),0))</f>
        <v>4</v>
      </c>
      <c r="J17" s="185" t="str">
        <f>IF($I17&gt;0,VLOOKUP($I17,[2]DrawPrep!$C$3:$G$18,2,FALSE),"bye")</f>
        <v>q</v>
      </c>
      <c r="K17" s="185" t="e">
        <f t="shared" si="0"/>
        <v>#VALUE!</v>
      </c>
      <c r="L17" s="64">
        <f>IF($I17&gt;0,VLOOKUP($I17,[2]DrawPrep!$C$3:$G$18,3,FALSE),"")</f>
        <v>0</v>
      </c>
      <c r="M17" s="66"/>
      <c r="N17" s="49" t="str">
        <f>UPPER(IF($A$2="R",IF(OR(M17=1,M17="a"),I17,IF(OR(M17=2,M17="b"),I18,"")),IF(OR(M17=1,M17="a"),K17,IF(OR(M17=2,M17="b"),K18,""))))</f>
        <v/>
      </c>
      <c r="O17" s="37"/>
      <c r="P17" s="65"/>
      <c r="Q17" s="37"/>
      <c r="R17" s="27"/>
    </row>
    <row r="18" spans="1:19" ht="12" customHeight="1" x14ac:dyDescent="0.25">
      <c r="A18" s="262">
        <v>14</v>
      </c>
      <c r="B18" s="245">
        <f>11-D18+4</f>
        <v>15</v>
      </c>
      <c r="C18" s="246">
        <v>8</v>
      </c>
      <c r="D18" s="247">
        <f t="shared" si="1"/>
        <v>0</v>
      </c>
      <c r="E18" s="248">
        <f>IF($B$2&gt;=C18,1,0)</f>
        <v>0</v>
      </c>
      <c r="F18" s="27">
        <f>IF(NOT($G18="-"),VLOOKUP($G18,[2]DrawPrep!$A$3:$G$18,2,FALSE),"")</f>
        <v>0</v>
      </c>
      <c r="G18" s="27">
        <v>15</v>
      </c>
      <c r="H18" s="129">
        <f>IF(NOT($G18="-"),VLOOKUP($G18,[2]DrawPrep!$A$3:$G$18,6,FALSE),0)</f>
        <v>0</v>
      </c>
      <c r="I18" s="129">
        <f>IF([2]Setup!$B$24="#",0,IF(NOT($G18="-"),VLOOKUP($G18,[2]DrawPrep!$A$3:$G$18,3,FALSE),0))</f>
        <v>7</v>
      </c>
      <c r="J18" s="185" t="str">
        <f>IF($I18&gt;0,VLOOKUP($I18,[2]DrawPrep!$C$3:$G$18,2,FALSE),"bye")</f>
        <v>q</v>
      </c>
      <c r="K18" s="185" t="e">
        <f t="shared" si="0"/>
        <v>#VALUE!</v>
      </c>
      <c r="L18" s="64">
        <f>IF($I18&gt;0,VLOOKUP($I18,[2]DrawPrep!$C$3:$G$18,3,FALSE),"")</f>
        <v>0</v>
      </c>
      <c r="M18" s="81"/>
      <c r="N18" s="58"/>
      <c r="O18" s="66"/>
      <c r="P18" s="49" t="str">
        <f>UPPER(IF($A$2="R",IF(OR(O18=1,O18="a"),N17,IF(OR(O18=2,O18="b"),N19,"")),IF(OR(O18=1,O18="a"),N17,IF(OR(O18=2,O18="b"),N19,""))))</f>
        <v/>
      </c>
      <c r="Q18" s="214"/>
      <c r="R18" s="38"/>
    </row>
    <row r="19" spans="1:19" ht="12" customHeight="1" x14ac:dyDescent="0.25">
      <c r="A19" s="249">
        <v>15</v>
      </c>
      <c r="B19" s="245">
        <f>12-D19+4</f>
        <v>16</v>
      </c>
      <c r="C19" s="246">
        <v>2</v>
      </c>
      <c r="D19" s="247">
        <f t="shared" si="1"/>
        <v>0</v>
      </c>
      <c r="E19" s="248">
        <f>IF($B$2&gt;=C19,1,0)</f>
        <v>0</v>
      </c>
      <c r="F19" s="252">
        <f>IF(NOT($G19="-"),VLOOKUP($G19,[2]DrawPrep!$A$3:$G$18,2,FALSE),"")</f>
        <v>0</v>
      </c>
      <c r="G19" s="252">
        <v>6</v>
      </c>
      <c r="H19" s="212">
        <f>IF(NOT($G19="-"),VLOOKUP($G19,[2]DrawPrep!$A$3:$G$18,6,FALSE),0)</f>
        <v>3.25</v>
      </c>
      <c r="I19" s="212">
        <f>IF([2]Setup!$B$24="#",0,IF(NOT($G19="-"),VLOOKUP($G19,[2]DrawPrep!$A$3:$G$18,3,FALSE),0))</f>
        <v>33453</v>
      </c>
      <c r="J19" s="253" t="str">
        <f>IF($I19&gt;0,VLOOKUP($I19,[2]DrawPrep!$C$3:$G$18,2,FALSE),"bye")</f>
        <v>ΣΤΑΥΡΟΠΟΥΛΟΣ ΜΑΡΙΟΣ-ΦΩΤΙΟΣ</v>
      </c>
      <c r="K19" s="253" t="str">
        <f t="shared" si="0"/>
        <v>ΣΤΑΥΡΟΠΟΥΛΟΣ</v>
      </c>
      <c r="L19" s="70" t="str">
        <f>IF($I19&gt;0,VLOOKUP($I19,[2]DrawPrep!$C$3:$G$18,3,FALSE),"")</f>
        <v>ΑΟΑ ΦΙΛΟΘΕΗΣ</v>
      </c>
      <c r="M19" s="66"/>
      <c r="N19" s="49" t="str">
        <f>UPPER(IF($A$2="R",IF(OR(M19=1,M19="a"),I19,IF(OR(M19=2,M19="b"),I20,"")),IF(OR(M19=1,M19="a"),K19,IF(OR(M19=2,M19="b"),K20,""))))</f>
        <v/>
      </c>
      <c r="O19" s="81"/>
      <c r="P19" s="172"/>
      <c r="Q19" s="37"/>
      <c r="R19" s="38"/>
    </row>
    <row r="20" spans="1:19" ht="12" customHeight="1" x14ac:dyDescent="0.25">
      <c r="A20" s="254">
        <v>16</v>
      </c>
      <c r="B20" s="238">
        <v>2</v>
      </c>
      <c r="C20" s="250"/>
      <c r="D20" s="247">
        <f t="shared" si="1"/>
        <v>0</v>
      </c>
      <c r="E20" s="251">
        <v>0</v>
      </c>
      <c r="F20" s="255">
        <f>IF(NOT($G20="-"),VLOOKUP($G20,[2]DrawPrep!$A$3:$G$18,2,FALSE),"")</f>
        <v>0</v>
      </c>
      <c r="G20" s="266">
        <f>VLOOKUP($B20,[2]Setup!$G$12:$H$27,2,FALSE)</f>
        <v>2</v>
      </c>
      <c r="H20" s="213">
        <f>IF($G20&gt;0,VLOOKUP($G20,[2]DrawPrep!$A$3:$G$18,6,FALSE),0)</f>
        <v>8</v>
      </c>
      <c r="I20" s="217">
        <f>IF([2]Setup!$B$24="#",0,IF($G20&gt;0,VLOOKUP($G20,[2]DrawPrep!$A$3:$G$18,3,FALSE),0))</f>
        <v>10759</v>
      </c>
      <c r="J20" s="267" t="str">
        <f>IF($I20&gt;0,VLOOKUP($I20,[2]DrawPrep!$C$3:$G$18,2,FALSE),"bye")</f>
        <v>ΑΓΓΕΛΙΝΟΣ ΘΕΟΔΩΡΟΣ</v>
      </c>
      <c r="K20" s="267" t="str">
        <f t="shared" si="0"/>
        <v>ΑΓΓΕΛΙΝΟΣ</v>
      </c>
      <c r="L20" s="89" t="str">
        <f>IF($I20&gt;0,VLOOKUP($I20,[2]DrawPrep!$C$3:$G$18,3,FALSE),"")</f>
        <v>ΟΑ ΓΛΥΦΑΔΑΣ</v>
      </c>
      <c r="M20" s="81"/>
      <c r="N20" s="172"/>
      <c r="O20" s="37"/>
      <c r="P20" s="38"/>
      <c r="Q20" s="37"/>
      <c r="R20" s="38"/>
      <c r="S20" s="6"/>
    </row>
    <row r="21" spans="1:19" x14ac:dyDescent="0.25">
      <c r="N21" s="92" t="s">
        <v>10</v>
      </c>
      <c r="P21" s="92" t="s">
        <v>10</v>
      </c>
      <c r="R21" s="92" t="s">
        <v>10</v>
      </c>
    </row>
    <row r="22" spans="1:19" x14ac:dyDescent="0.25">
      <c r="G22" s="268"/>
      <c r="H22" s="268"/>
      <c r="P22" s="38"/>
    </row>
    <row r="23" spans="1:19" x14ac:dyDescent="0.25">
      <c r="G23" s="27"/>
      <c r="H23" s="27"/>
      <c r="P23" s="21"/>
    </row>
    <row r="24" spans="1:19" s="93" customFormat="1" ht="9.6" x14ac:dyDescent="0.25">
      <c r="C24" s="94"/>
      <c r="D24" s="95"/>
      <c r="E24" s="95"/>
      <c r="G24" s="94"/>
      <c r="H24" s="94"/>
      <c r="I24" s="95"/>
      <c r="J24" s="96" t="s">
        <v>11</v>
      </c>
      <c r="K24" s="269"/>
      <c r="M24" s="270"/>
      <c r="O24" s="98"/>
      <c r="Q24" s="98"/>
      <c r="R24" s="100"/>
      <c r="S24" s="228"/>
    </row>
    <row r="25" spans="1:19" s="93" customFormat="1" ht="9.6" x14ac:dyDescent="0.25">
      <c r="C25" s="94"/>
      <c r="D25" s="95"/>
      <c r="E25" s="95"/>
      <c r="G25" s="94"/>
      <c r="H25" s="94"/>
      <c r="I25" s="95"/>
      <c r="J25" s="229" t="str">
        <f>"1. " &amp; IF([2]Setup!B19&gt;0,LEFT([2]DrawPrep!D3,FIND(" ",[2]DrawPrep!D3)+1),"")</f>
        <v>1. ΓΕΜΟΥΧΙΔΗΣ Π</v>
      </c>
      <c r="K25" s="100"/>
      <c r="M25" s="271"/>
      <c r="N25" s="271"/>
      <c r="O25" s="98"/>
      <c r="Q25" s="98"/>
      <c r="R25" s="100"/>
      <c r="S25" s="228"/>
    </row>
    <row r="26" spans="1:19" s="93" customFormat="1" ht="9.6" x14ac:dyDescent="0.25">
      <c r="C26" s="94"/>
      <c r="D26" s="95"/>
      <c r="E26" s="95"/>
      <c r="G26" s="94"/>
      <c r="H26" s="94"/>
      <c r="I26" s="95"/>
      <c r="J26" s="229" t="str">
        <f>"2. " &amp; IF([2]Setup!B19&gt;1,LEFT([2]DrawPrep!D4,FIND(" ",[2]DrawPrep!D4)+1),"")</f>
        <v>2. ΑΓΓΕΛΙΝΟΣ Θ</v>
      </c>
      <c r="K26" s="100"/>
      <c r="M26" s="270"/>
      <c r="O26" s="98"/>
      <c r="Q26" s="98"/>
      <c r="R26" s="227" t="s">
        <v>12</v>
      </c>
      <c r="S26" s="228"/>
    </row>
    <row r="27" spans="1:19" s="93" customFormat="1" ht="9.6" x14ac:dyDescent="0.25">
      <c r="C27" s="94"/>
      <c r="D27" s="95"/>
      <c r="E27" s="95"/>
      <c r="G27" s="94"/>
      <c r="H27" s="94"/>
      <c r="I27" s="95"/>
      <c r="J27" s="229" t="str">
        <f>"3. " &amp; IF([2]Setup!B19&gt;2,LEFT([2]DrawPrep!D5,FIND(" ",[2]DrawPrep!D5)+1),"")</f>
        <v>3. ΜΟΥΡΑΤΟΓΛΟΥ Α</v>
      </c>
      <c r="K27" s="100"/>
      <c r="M27" s="270"/>
      <c r="O27" s="98"/>
      <c r="Q27" s="98"/>
      <c r="R27" s="310" t="str">
        <f>[2]Setup!B10</f>
        <v>Τ.Ταμπόση</v>
      </c>
      <c r="S27" s="310"/>
    </row>
    <row r="28" spans="1:19" s="93" customFormat="1" ht="9.6" x14ac:dyDescent="0.25">
      <c r="C28" s="94"/>
      <c r="D28" s="95"/>
      <c r="E28" s="95"/>
      <c r="G28" s="94"/>
      <c r="H28" s="94"/>
      <c r="I28" s="95"/>
      <c r="J28" s="229" t="str">
        <f>"4. " &amp; IF([2]Setup!B19&gt;3,LEFT([2]DrawPrep!D6,FIND(" ",[2]DrawPrep!D6)+1),"")</f>
        <v>4. ΣΑΚΕΛΛΑΡΙΔΗΣ Μ</v>
      </c>
      <c r="K28" s="100"/>
      <c r="M28" s="270"/>
      <c r="O28" s="98"/>
      <c r="Q28" s="98"/>
      <c r="R28" s="100"/>
      <c r="S28" s="228"/>
    </row>
    <row r="39" spans="10:10" x14ac:dyDescent="0.25">
      <c r="J39" s="272"/>
    </row>
    <row r="40" spans="10:10" x14ac:dyDescent="0.25">
      <c r="J40" s="273" t="s">
        <v>15</v>
      </c>
    </row>
    <row r="41" spans="10:10" x14ac:dyDescent="0.25">
      <c r="J41" s="274" t="str">
        <f>IF([2]Setup!$B$19&gt;0,LEFT([2]DrawPrep!D3,FIND(" ",[2]DrawPrep!D3)-1))</f>
        <v>ΓΕΜΟΥΧΙΔΗΣ</v>
      </c>
    </row>
    <row r="42" spans="10:10" x14ac:dyDescent="0.25">
      <c r="J42" s="274" t="str">
        <f>IF([2]Setup!$B$19&gt;1,LEFT([2]DrawPrep!D4,FIND(" ",[2]DrawPrep!D4)-1))</f>
        <v>ΑΓΓΕΛΙΝΟΣ</v>
      </c>
    </row>
    <row r="43" spans="10:10" x14ac:dyDescent="0.25">
      <c r="J43" s="274" t="str">
        <f>IF([2]Setup!$B$19&gt;2,LEFT([2]DrawPrep!D5,FIND(" ",[2]DrawPrep!D5)-1))</f>
        <v>ΜΟΥΡΑΤΟΓΛΟΥ</v>
      </c>
    </row>
    <row r="44" spans="10:10" x14ac:dyDescent="0.25">
      <c r="J44" s="274" t="str">
        <f>IF([2]Setup!$B$19&gt;3,LEFT([2]DrawPrep!D6,FIND(" ",[2]DrawPrep!D6)-1))</f>
        <v>ΣΑΚΕΛΛΑΡΙΔΗΣ</v>
      </c>
    </row>
    <row r="45" spans="10:10" ht="11.4" x14ac:dyDescent="0.25">
      <c r="J45" s="275"/>
    </row>
    <row r="46" spans="10:10" ht="11.4" x14ac:dyDescent="0.25">
      <c r="J46" s="276"/>
    </row>
    <row r="47" spans="10:10" ht="11.4" x14ac:dyDescent="0.25">
      <c r="J47" s="276"/>
    </row>
    <row r="48" spans="10:10" ht="11.4" x14ac:dyDescent="0.25">
      <c r="J48" s="276"/>
    </row>
  </sheetData>
  <sheetProtection formatCells="0" formatColumns="0" formatRows="0" insertColumns="0"/>
  <protectedRanges>
    <protectedRange sqref="G5:G20" name="seeds"/>
    <protectedRange sqref="N6 N8 N10 N12 N14 N16 N18 N20 P7 P11 P15 P19 R9 R17" name="scores"/>
    <protectedRange sqref="M5 M7 M9 M11 M13 M15 M17 M19 O6 O10 O14 O18 Q8 Q16 Q12" name="winners"/>
  </protectedRanges>
  <mergeCells count="3">
    <mergeCell ref="A1:P1"/>
    <mergeCell ref="J3:L3"/>
    <mergeCell ref="R27:S27"/>
  </mergeCells>
  <conditionalFormatting sqref="N5 N7 N9 N11 N13 N15 N17 N19 P18 P14 P10 P6 R8 R16">
    <cfRule type="expression" dxfId="3" priority="2">
      <formula>MATCH(N5,$J$41:$J$44,0)</formula>
    </cfRule>
  </conditionalFormatting>
  <conditionalFormatting sqref="R12">
    <cfRule type="expression" dxfId="2" priority="1">
      <formula>MATCH(R12,$J$41:$J$44,0)</formula>
    </cfRule>
  </conditionalFormatting>
  <printOptions horizontalCentered="1"/>
  <pageMargins left="0.39370078740157483" right="0.39370078740157483" top="0.39370078740157483" bottom="0.39370078740157483" header="0.51181102362204722"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Line="0" autoPict="0" macro="[2]!Sheet2pdf">
                <anchor moveWithCells="1" sizeWithCells="1">
                  <from>
                    <xdr:col>19</xdr:col>
                    <xdr:colOff>76200</xdr:colOff>
                    <xdr:row>1</xdr:row>
                    <xdr:rowOff>15240</xdr:rowOff>
                  </from>
                  <to>
                    <xdr:col>22</xdr:col>
                    <xdr:colOff>220980</xdr:colOff>
                    <xdr:row>3</xdr:row>
                    <xdr:rowOff>91440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5713E-A46D-4D97-8F6C-7E21482F8408}">
  <sheetPr codeName="Sheet11">
    <tabColor rgb="FFFFFF00"/>
    <pageSetUpPr fitToPage="1"/>
  </sheetPr>
  <dimension ref="A1:U75"/>
  <sheetViews>
    <sheetView showGridLines="0" showZeros="0" zoomScaleNormal="100" workbookViewId="0">
      <pane ySplit="1" topLeftCell="A2" activePane="bottomLeft" state="frozen"/>
      <selection pane="bottomLeft" activeCell="J31" sqref="J31"/>
    </sheetView>
  </sheetViews>
  <sheetFormatPr defaultRowHeight="10.199999999999999" x14ac:dyDescent="0.25"/>
  <cols>
    <col min="1" max="1" width="2.44140625" style="13" bestFit="1" customWidth="1"/>
    <col min="2" max="2" width="2.33203125" style="13" hidden="1" customWidth="1"/>
    <col min="3" max="3" width="6" style="14" hidden="1" customWidth="1"/>
    <col min="4" max="4" width="5.21875" style="15" hidden="1" customWidth="1"/>
    <col min="5" max="5" width="4.6640625" style="15" hidden="1" customWidth="1"/>
    <col min="6" max="6" width="3" style="13" hidden="1" customWidth="1"/>
    <col min="7" max="7" width="3.5546875" style="14" bestFit="1" customWidth="1"/>
    <col min="8" max="8" width="3.109375" style="14" bestFit="1" customWidth="1"/>
    <col min="9" max="9" width="6.33203125" style="236" customWidth="1"/>
    <col min="10" max="10" width="33.88671875" style="13" bestFit="1" customWidth="1"/>
    <col min="11" max="11" width="13.33203125" style="13" hidden="1" customWidth="1"/>
    <col min="12" max="12" width="21.33203125" style="13" bestFit="1" customWidth="1"/>
    <col min="13" max="13" width="1.44140625" style="91" bestFit="1" customWidth="1"/>
    <col min="14" max="14" width="15.88671875" style="13" bestFit="1" customWidth="1"/>
    <col min="15" max="15" width="1.44140625" style="39" bestFit="1" customWidth="1"/>
    <col min="16" max="16" width="15.88671875" style="13" bestFit="1" customWidth="1"/>
    <col min="17" max="17" width="1.44140625" style="39" bestFit="1" customWidth="1"/>
    <col min="18" max="18" width="15.88671875" style="21" bestFit="1" customWidth="1"/>
    <col min="19" max="19" width="1.44140625" style="37" bestFit="1" customWidth="1"/>
    <col min="20" max="20" width="15.88671875" style="21" bestFit="1" customWidth="1"/>
    <col min="21" max="21" width="8.88671875" style="21"/>
    <col min="22" max="16384" width="8.88671875" style="13"/>
  </cols>
  <sheetData>
    <row r="1" spans="1:21" s="4" customFormat="1" ht="16.8" x14ac:dyDescent="0.25">
      <c r="A1" s="311" t="str">
        <f>[3]Setup!B3 &amp; ", " &amp; [3]Setup!B4 &amp; ", " &amp; [3]Setup!B6 &amp; ", " &amp; [3]Setup!B8 &amp; "-" &amp; [3]Setup!B9</f>
        <v>Η ΕΝΩΣΗ, ΟΡΕΝ MASTER, ΑΟΑ ΦΙΛΟΘΕΗΣ, 17-22 Οκτ</v>
      </c>
      <c r="B1" s="311"/>
      <c r="C1" s="311"/>
      <c r="D1" s="311"/>
      <c r="E1" s="311"/>
      <c r="F1" s="311"/>
      <c r="G1" s="311"/>
      <c r="H1" s="311"/>
      <c r="I1" s="311"/>
      <c r="J1" s="311"/>
      <c r="K1" s="311"/>
      <c r="L1" s="311"/>
      <c r="M1" s="311"/>
      <c r="N1" s="311"/>
      <c r="O1" s="311"/>
      <c r="P1" s="311"/>
      <c r="Q1" s="311"/>
      <c r="R1" s="311"/>
      <c r="S1" s="1"/>
      <c r="T1" s="2" t="str">
        <f>[3]Setup!B7</f>
        <v>Women md</v>
      </c>
      <c r="U1" s="3"/>
    </row>
    <row r="2" spans="1:21" x14ac:dyDescent="0.25">
      <c r="A2" s="232"/>
      <c r="B2" s="204">
        <f>[3]Setup!B18</f>
        <v>11</v>
      </c>
      <c r="C2" s="204"/>
      <c r="D2" s="233"/>
      <c r="E2" s="233"/>
      <c r="G2" s="234"/>
      <c r="H2" s="234"/>
      <c r="I2" s="234" t="s">
        <v>17</v>
      </c>
      <c r="J2" s="234"/>
      <c r="K2" s="234"/>
      <c r="L2" s="234"/>
      <c r="M2" s="234"/>
      <c r="N2" s="234" t="s">
        <v>18</v>
      </c>
      <c r="O2" s="234"/>
      <c r="P2" s="234" t="s">
        <v>19</v>
      </c>
      <c r="Q2" s="234"/>
      <c r="R2" s="234" t="s">
        <v>22</v>
      </c>
      <c r="S2" s="234"/>
      <c r="T2" s="234" t="s">
        <v>23</v>
      </c>
    </row>
    <row r="3" spans="1:21" x14ac:dyDescent="0.25">
      <c r="J3" s="309">
        <v>32</v>
      </c>
      <c r="K3" s="309"/>
      <c r="L3" s="309"/>
      <c r="M3" s="17"/>
      <c r="N3" s="18">
        <v>16</v>
      </c>
      <c r="O3" s="19"/>
      <c r="P3" s="20">
        <v>8</v>
      </c>
      <c r="Q3" s="202"/>
      <c r="R3" s="20">
        <v>4</v>
      </c>
      <c r="S3" s="202"/>
      <c r="T3" s="20" t="s">
        <v>16</v>
      </c>
    </row>
    <row r="4" spans="1:21" s="14" customFormat="1" x14ac:dyDescent="0.25">
      <c r="A4" s="22" t="s">
        <v>1</v>
      </c>
      <c r="B4" s="23"/>
      <c r="C4" s="24" t="s">
        <v>2</v>
      </c>
      <c r="D4" s="24" t="s">
        <v>3</v>
      </c>
      <c r="E4" s="24" t="s">
        <v>4</v>
      </c>
      <c r="F4" s="22" t="s">
        <v>21</v>
      </c>
      <c r="G4" s="22" t="s">
        <v>5</v>
      </c>
      <c r="H4" s="22" t="s">
        <v>14</v>
      </c>
      <c r="I4" s="22" t="s">
        <v>6</v>
      </c>
      <c r="J4" s="25" t="s">
        <v>7</v>
      </c>
      <c r="K4" s="24" t="s">
        <v>8</v>
      </c>
      <c r="L4" s="25" t="s">
        <v>9</v>
      </c>
      <c r="M4" s="6"/>
      <c r="O4" s="26"/>
      <c r="Q4" s="26"/>
      <c r="R4" s="27"/>
      <c r="S4" s="204"/>
      <c r="T4" s="27"/>
      <c r="U4" s="27"/>
    </row>
    <row r="5" spans="1:21" ht="12" customHeight="1" x14ac:dyDescent="0.25">
      <c r="A5" s="237">
        <v>1</v>
      </c>
      <c r="B5" s="277">
        <v>1</v>
      </c>
      <c r="C5" s="239"/>
      <c r="D5" s="240"/>
      <c r="E5" s="241">
        <v>0</v>
      </c>
      <c r="F5" s="242">
        <f>IF(NOT($G5="-"),VLOOKUP($G5,[3]DrawPrep!$A$3:$F$34,2,FALSE),"")</f>
        <v>0</v>
      </c>
      <c r="G5" s="243">
        <f>VLOOKUP($B5,[3]Setup!$K$2:$L$33,2,FALSE)</f>
        <v>1</v>
      </c>
      <c r="H5" s="163">
        <f>IF($G5&gt;0,VLOOKUP($G5,[3]DrawPrep!$A$3:$F$34,6,FALSE),0)</f>
        <v>18</v>
      </c>
      <c r="I5" s="166">
        <f>IF([3]Setup!$B$24="#",0,IF($G5&gt;0,VLOOKUP($G5,[3]DrawPrep!$A$3:$F$34,3,FALSE),0))</f>
        <v>26107</v>
      </c>
      <c r="J5" s="165" t="str">
        <f>IF($I5&gt;0,VLOOKUP($I5,[3]DrawPrep!$C$3:$F$34,2,FALSE),"bye")</f>
        <v>ΑΝΤΩΝΑΚΗ ΕΜΜΑΝΟΥΕΛΑ</v>
      </c>
      <c r="K5" s="166" t="str">
        <f>IF(NOT(I5&gt;0),"", IF(ISERROR(FIND("-",J5)), LEFT(J5,FIND(" ",J5)-1), IF(FIND("-",J5)&gt;FIND(" ",J5),LEFT(J5,FIND(" ",J5)-1), LEFT(J5,FIND("-",J5)-1) )))</f>
        <v>ΑΝΤΩΝΑΚΗ</v>
      </c>
      <c r="L5" s="35" t="str">
        <f>IF($I5&gt;0,VLOOKUP($I5,[3]DrawPrep!$C$3:$F$34,3,FALSE),"")</f>
        <v>ΑΟΑ ΑΤΤΙΚΟΣ ΗΛΙΟΣ</v>
      </c>
      <c r="M5" s="66">
        <v>1</v>
      </c>
      <c r="N5" s="49" t="str">
        <f>UPPER(IF($A$2="R",IF(OR(M5=1,M5="a"),I5,IF(OR(M5=2,M5="b"),I6,"")),IF(OR(M5=1,M5="1"),K5,IF(OR(M5=2,M5="b"),K6,""))))</f>
        <v>ΑΝΤΩΝΑΚΗ</v>
      </c>
      <c r="O5" s="37"/>
      <c r="P5" s="38"/>
      <c r="R5" s="38"/>
      <c r="T5" s="38"/>
    </row>
    <row r="6" spans="1:21" ht="12" customHeight="1" x14ac:dyDescent="0.25">
      <c r="A6" s="244">
        <v>2</v>
      </c>
      <c r="B6" s="245">
        <f>1-D6+8</f>
        <v>8</v>
      </c>
      <c r="C6" s="246">
        <f>B5</f>
        <v>1</v>
      </c>
      <c r="D6" s="247">
        <f>E6</f>
        <v>1</v>
      </c>
      <c r="E6" s="248">
        <f>IF($B$2&gt;=C6,1,0)</f>
        <v>1</v>
      </c>
      <c r="F6" s="221" t="str">
        <f>IF(NOT($G6="-"),VLOOKUP($G6,[3]DrawPrep!$A$3:$F$34,2,FALSE),"")</f>
        <v/>
      </c>
      <c r="G6" s="221" t="str">
        <f>IF($B$2&gt;=C6,"-",VLOOKUP($B6,[3]Setup!$K$2:$L$33,2,FALSE))</f>
        <v>-</v>
      </c>
      <c r="H6" s="168">
        <f>IF(NOT($G6="-"),VLOOKUP($G6,[3]DrawPrep!$A$3:$F$34,6,FALSE),0)</f>
        <v>0</v>
      </c>
      <c r="I6" s="49">
        <f>IF([3]Setup!$B$24="#",0,IF(NOT($G6="-"),VLOOKUP($G6,[3]DrawPrep!$A$3:$F$34,3,FALSE),0))</f>
        <v>0</v>
      </c>
      <c r="J6" s="169" t="str">
        <f>IF($I6&gt;0,VLOOKUP($I6,[3]DrawPrep!$C$3:$F$34,2,FALSE),"bye")</f>
        <v>bye</v>
      </c>
      <c r="K6" s="49" t="str">
        <f t="shared" ref="K6:K36" si="0">IF(NOT(I6&gt;0),"", IF(ISERROR(FIND("-",J6)), LEFT(J6,FIND(" ",J6)-1), IF(FIND("-",J6)&gt;FIND(" ",J6),LEFT(J6,FIND(" ",J6)-1), LEFT(J6,FIND("-",J6)-1) )))</f>
        <v/>
      </c>
      <c r="L6" s="82" t="str">
        <f>IF($I6&gt;0,VLOOKUP($I6,[3]DrawPrep!$C$3:$F$34,3,FALSE),"")</f>
        <v/>
      </c>
      <c r="M6" s="81"/>
      <c r="N6" s="58"/>
      <c r="O6" s="66"/>
      <c r="P6" s="49" t="str">
        <f>UPPER(IF($A$2="R",IF(OR(O6=1,O6="a"),N5,IF(OR(O6=2,O6="b"),N7,"")),IF(OR(O6=1,O6="a"),N5,IF(OR(O6=2,O6="b"),N7,""))))</f>
        <v/>
      </c>
      <c r="Q6" s="37"/>
      <c r="R6" s="38"/>
      <c r="T6" s="38"/>
    </row>
    <row r="7" spans="1:21" ht="12" customHeight="1" x14ac:dyDescent="0.25">
      <c r="A7" s="283">
        <v>3</v>
      </c>
      <c r="B7" s="284">
        <f>2-D7+8</f>
        <v>9</v>
      </c>
      <c r="C7" s="285"/>
      <c r="D7" s="286">
        <f>D6+E7</f>
        <v>1</v>
      </c>
      <c r="E7" s="286">
        <v>0</v>
      </c>
      <c r="F7" s="287">
        <f>IF(NOT($G7="-"),VLOOKUP($G7,[3]DrawPrep!$A$3:$F$34,2,FALSE),"")</f>
        <v>0</v>
      </c>
      <c r="G7" s="287">
        <v>10</v>
      </c>
      <c r="H7" s="288">
        <f>IF($G7&gt;0,VLOOKUP($G7,[3]DrawPrep!$A$3:$F$34,6,FALSE),0)</f>
        <v>0.1</v>
      </c>
      <c r="I7" s="104">
        <f>IF([3]Setup!$B$24="#",0,IF($G7&gt;0,VLOOKUP($G7,[3]DrawPrep!$A$3:$F$34,3,FALSE),0))</f>
        <v>33920</v>
      </c>
      <c r="J7" s="289" t="str">
        <f>IF($I7&gt;0,VLOOKUP($I7,[3]DrawPrep!$C$3:$F$34,2,FALSE),"bye")</f>
        <v>ΠΛΑΤΣΙΩΤΑ ΡΑΦΑΕΛΑ</v>
      </c>
      <c r="K7" s="104" t="str">
        <f t="shared" si="0"/>
        <v>ΠΛΑΤΣΙΩΤΑ</v>
      </c>
      <c r="L7" s="106" t="str">
        <f>IF($I7&gt;0,VLOOKUP($I7,[3]DrawPrep!$C$3:$F$34,3,FALSE),"")</f>
        <v>ΑΟΑ ΑΤΤΙΚΟΣ ΗΛΙΟΣ</v>
      </c>
      <c r="M7" s="66">
        <v>1</v>
      </c>
      <c r="N7" s="49" t="str">
        <f>UPPER(IF($A$2="R",IF(OR(M7=1,M7="a"),I7,IF(OR(M7=2,M7="b"),I8,"")),IF(OR(M7=1,M7="a"),K7,IF(OR(M7=2,M7="b"),K8,""))))</f>
        <v>ΠΛΑΤΣΙΩΤΑ</v>
      </c>
      <c r="O7" s="81"/>
      <c r="P7" s="58"/>
      <c r="Q7" s="37"/>
      <c r="R7" s="38"/>
      <c r="T7" s="38"/>
    </row>
    <row r="8" spans="1:21" ht="12" customHeight="1" x14ac:dyDescent="0.25">
      <c r="A8" s="290">
        <v>4</v>
      </c>
      <c r="B8" s="284">
        <f>3-D8+8</f>
        <v>10</v>
      </c>
      <c r="C8" s="285">
        <v>15</v>
      </c>
      <c r="D8" s="286">
        <f t="shared" ref="D8:D36" si="1">D7+E8</f>
        <v>1</v>
      </c>
      <c r="E8" s="286">
        <f>IF($B$2&gt;=C8,1,0)</f>
        <v>0</v>
      </c>
      <c r="F8" s="291" t="str">
        <f>IF(NOT($G8="-"),VLOOKUP($G8,[3]DrawPrep!$A$3:$F$34,2,FALSE),"")</f>
        <v/>
      </c>
      <c r="G8" s="291" t="s">
        <v>24</v>
      </c>
      <c r="H8" s="292">
        <f>IF(NOT($G8="-"),VLOOKUP($G8,[3]DrawPrep!$A$3:$F$34,6,FALSE),0)</f>
        <v>0</v>
      </c>
      <c r="I8" s="114">
        <f>IF([3]Setup!$B$24="#",0,IF(NOT($G8="-"),VLOOKUP($G8,[3]DrawPrep!$A$3:$F$34,3,FALSE),0))</f>
        <v>0</v>
      </c>
      <c r="J8" s="293" t="str">
        <f>IF($I8&gt;0,VLOOKUP($I8,[3]DrawPrep!$C$3:$F$34,2,FALSE),"bye")</f>
        <v>bye</v>
      </c>
      <c r="K8" s="114" t="str">
        <f t="shared" si="0"/>
        <v/>
      </c>
      <c r="L8" s="116" t="str">
        <f>IF($I8&gt;0,VLOOKUP($I8,[3]DrawPrep!$C$3:$F$34,3,FALSE),"")</f>
        <v/>
      </c>
      <c r="M8" s="81"/>
      <c r="N8" s="15"/>
      <c r="O8" s="37"/>
      <c r="P8" s="65"/>
      <c r="Q8" s="48"/>
      <c r="R8" s="49" t="str">
        <f>UPPER(IF($A$2="R",IF(OR(Q8=1,Q8="a"),P6,IF(OR(Q8=2,Q8="b"),P10,"")),IF(OR(Q8=1,Q8="a"),P6,IF(OR(Q8=2,Q8="b"),P10,""))))</f>
        <v/>
      </c>
      <c r="T8" s="38"/>
    </row>
    <row r="9" spans="1:21" ht="12" customHeight="1" x14ac:dyDescent="0.25">
      <c r="A9" s="237">
        <v>5</v>
      </c>
      <c r="B9" s="245">
        <f>4-D9+8</f>
        <v>11</v>
      </c>
      <c r="C9" s="250"/>
      <c r="D9" s="247">
        <f t="shared" si="1"/>
        <v>1</v>
      </c>
      <c r="E9" s="251">
        <v>0</v>
      </c>
      <c r="F9" s="242">
        <f>IF(NOT($G9="-"),VLOOKUP($G9,[3]DrawPrep!$A$3:$F$34,2,FALSE),"")</f>
        <v>0</v>
      </c>
      <c r="G9" s="242">
        <f>VLOOKUP($B9,[3]Setup!$K$2:$L$33,2,FALSE)</f>
        <v>17</v>
      </c>
      <c r="H9" s="163">
        <f>IF($G9&gt;0,VLOOKUP($G9,[3]DrawPrep!$A$3:$F$34,6,FALSE),0)</f>
        <v>0</v>
      </c>
      <c r="I9" s="55">
        <f>IF([3]Setup!$B$24="#",0,IF($G9&gt;0,VLOOKUP($G9,[3]DrawPrep!$A$3:$F$34,3,FALSE),0))</f>
        <v>22934</v>
      </c>
      <c r="J9" s="171" t="str">
        <f>IF($I9&gt;0,VLOOKUP($I9,[3]DrawPrep!$C$3:$F$34,2,FALSE),"bye")</f>
        <v>ΑΘΑΝΙΤΗ ΝΙΚΟΛΙΤΣΑ</v>
      </c>
      <c r="K9" s="55" t="str">
        <f t="shared" si="0"/>
        <v>ΑΘΑΝΙΤΗ</v>
      </c>
      <c r="L9" s="57" t="str">
        <f>IF($I9&gt;0,VLOOKUP($I9,[3]DrawPrep!$C$3:$F$34,3,FALSE),"")</f>
        <v>ΑΟ ΦΟΥΡΕΣΙ ΓΛ ΝΕΡΩΝ</v>
      </c>
      <c r="M9" s="167">
        <v>1</v>
      </c>
      <c r="N9" s="49" t="str">
        <f>UPPER(IF($A$2="R",IF(OR(M9=1,M9="a"),I9,IF(OR(M9=2,M9="b"),I10,"")),IF(OR(M9=1,M9="a"),K9,IF(OR(M9=2,M9="b"),K10,""))))</f>
        <v>ΑΘΑΝΙΤΗ</v>
      </c>
      <c r="O9" s="37"/>
      <c r="P9" s="65"/>
      <c r="Q9" s="37"/>
      <c r="R9" s="58"/>
      <c r="T9" s="38"/>
    </row>
    <row r="10" spans="1:21" ht="12" customHeight="1" x14ac:dyDescent="0.25">
      <c r="A10" s="244">
        <v>6</v>
      </c>
      <c r="B10" s="245">
        <f>5-D10+8</f>
        <v>11</v>
      </c>
      <c r="C10" s="246">
        <v>9</v>
      </c>
      <c r="D10" s="247">
        <f t="shared" si="1"/>
        <v>2</v>
      </c>
      <c r="E10" s="248">
        <f>IF($B$2&gt;=C10,1,0)</f>
        <v>1</v>
      </c>
      <c r="F10" s="221" t="str">
        <f>IF(NOT($G10="-"),VLOOKUP($G10,[3]DrawPrep!$A$3:$F$34,2,FALSE),"")</f>
        <v/>
      </c>
      <c r="G10" s="221" t="str">
        <f>IF($B$2&gt;=C10,"-",VLOOKUP($B10,[3]Setup!$K$2:$L$33,2,FALSE))</f>
        <v>-</v>
      </c>
      <c r="H10" s="168">
        <f>IF(NOT($G10="-"),VLOOKUP($G10,[3]DrawPrep!$A$3:$F$34,6,FALSE),0)</f>
        <v>0</v>
      </c>
      <c r="I10" s="49">
        <f>IF([3]Setup!$B$24="#",0,IF(NOT($G10="-"),VLOOKUP($G10,[3]DrawPrep!$A$3:$F$34,3,FALSE),0))</f>
        <v>0</v>
      </c>
      <c r="J10" s="169" t="str">
        <f>IF($I10&gt;0,VLOOKUP($I10,[3]DrawPrep!$C$3:$F$34,2,FALSE),"bye")</f>
        <v>bye</v>
      </c>
      <c r="K10" s="49" t="str">
        <f t="shared" si="0"/>
        <v/>
      </c>
      <c r="L10" s="82" t="str">
        <f>IF($I10&gt;0,VLOOKUP($I10,[3]DrawPrep!$C$3:$F$34,3,FALSE),"")</f>
        <v/>
      </c>
      <c r="M10" s="81"/>
      <c r="N10" s="58"/>
      <c r="O10" s="66"/>
      <c r="P10" s="49" t="str">
        <f>UPPER(IF($A$2="R",IF(OR(O10=1,O10="a"),N9,IF(OR(O10=2,O10="b"),N11,"")),IF(OR(O10=1,O10="a"),N9,IF(OR(O10=2,O10="b"),N11,""))))</f>
        <v/>
      </c>
      <c r="Q10" s="214"/>
      <c r="R10" s="65"/>
      <c r="T10" s="38"/>
    </row>
    <row r="11" spans="1:21" ht="12" customHeight="1" x14ac:dyDescent="0.25">
      <c r="A11" s="283">
        <v>7</v>
      </c>
      <c r="B11" s="284">
        <f>6-D11+8</f>
        <v>11</v>
      </c>
      <c r="C11" s="285">
        <f>B12</f>
        <v>6</v>
      </c>
      <c r="D11" s="286">
        <f t="shared" si="1"/>
        <v>3</v>
      </c>
      <c r="E11" s="286">
        <f>IF($B$2&gt;=C11,1,0)</f>
        <v>1</v>
      </c>
      <c r="F11" s="287" t="str">
        <f>IF(NOT($G11="-"),VLOOKUP($G11,[3]DrawPrep!$A$3:$F$34,2,FALSE),"")</f>
        <v/>
      </c>
      <c r="G11" s="287" t="str">
        <f>IF($B$2&gt;=C11,"-",VLOOKUP($B11,[3]Setup!$K$2:$L$33,2,FALSE))</f>
        <v>-</v>
      </c>
      <c r="H11" s="288">
        <f>IF(NOT($G11="-"),VLOOKUP($G11,[3]DrawPrep!$A$3:$F$34,6,FALSE),0)</f>
        <v>0</v>
      </c>
      <c r="I11" s="104">
        <f>IF([3]Setup!$B$24="#",0,IF(NOT($G11="-"),VLOOKUP($G11,[3]DrawPrep!$A$3:$F$34,3,FALSE),0))</f>
        <v>0</v>
      </c>
      <c r="J11" s="289" t="str">
        <f>IF($I11&gt;0,VLOOKUP($I11,[3]DrawPrep!$C$3:$F$34,2,FALSE),"bye")</f>
        <v>bye</v>
      </c>
      <c r="K11" s="104" t="str">
        <f t="shared" si="0"/>
        <v/>
      </c>
      <c r="L11" s="106" t="str">
        <f>IF($I11&gt;0,VLOOKUP($I11,[3]DrawPrep!$C$3:$F$34,3,FALSE),"")</f>
        <v/>
      </c>
      <c r="M11" s="66">
        <v>2</v>
      </c>
      <c r="N11" s="49" t="str">
        <f>UPPER(IF($A$2="R",IF(OR(M11=1,M11="a"),I11,IF(OR(M11=2,M11="b"),I12,"")),IF(OR(M11=1,M11="a"),K11,IF(OR(M11=2,M11="b"),K12,""))))</f>
        <v>ΡΕΝΤΟΥΜΗ</v>
      </c>
      <c r="O11" s="81"/>
      <c r="P11" s="172"/>
      <c r="Q11" s="37"/>
      <c r="R11" s="65"/>
      <c r="S11" s="214"/>
      <c r="T11" s="38"/>
    </row>
    <row r="12" spans="1:21" ht="12" customHeight="1" x14ac:dyDescent="0.25">
      <c r="A12" s="290">
        <v>8</v>
      </c>
      <c r="B12" s="284">
        <f>VALUE([3]Setup!E5)</f>
        <v>6</v>
      </c>
      <c r="C12" s="285"/>
      <c r="D12" s="286">
        <f t="shared" si="1"/>
        <v>3</v>
      </c>
      <c r="E12" s="286">
        <v>0</v>
      </c>
      <c r="F12" s="291">
        <f>IF(NOT($G12="-"),VLOOKUP($G12,[3]DrawPrep!$A$3:$F$34,2,FALSE),"")</f>
        <v>0</v>
      </c>
      <c r="G12" s="294">
        <f>VLOOKUP($B12,[3]Setup!$K$2:$L$33,2,FALSE)</f>
        <v>6</v>
      </c>
      <c r="H12" s="292">
        <f>IF($G12&gt;0,VLOOKUP($G12,[3]DrawPrep!$A$3:$F$34,6,FALSE),0)</f>
        <v>0.65</v>
      </c>
      <c r="I12" s="123">
        <f>IF([3]Setup!$B$24="#",0,IF($G12&gt;0,VLOOKUP($G12,[3]DrawPrep!$A$3:$F$34,3,FALSE),0))</f>
        <v>30773</v>
      </c>
      <c r="J12" s="295" t="str">
        <f>IF($I12&gt;0,VLOOKUP($I12,[3]DrawPrep!$C$3:$F$34,2,FALSE),"bye")</f>
        <v>ΡΕΝΤΟΥΜΗ ΧΡΥΣΟΥΛΑ</v>
      </c>
      <c r="K12" s="123" t="str">
        <f t="shared" si="0"/>
        <v>ΡΕΝΤΟΥΜΗ</v>
      </c>
      <c r="L12" s="124" t="str">
        <f>IF($I12&gt;0,VLOOKUP($I12,[3]DrawPrep!$C$3:$F$34,3,FALSE),"")</f>
        <v>ΣΑ ΡΑΦΗΝΑΣ</v>
      </c>
      <c r="M12" s="81"/>
      <c r="N12" s="172"/>
      <c r="P12" s="38"/>
      <c r="R12" s="38"/>
      <c r="S12" s="66"/>
      <c r="T12" s="168" t="str">
        <f>UPPER(IF($A$2="R",IF(OR(S12=1,S12="a"),R8,IF(OR(S12=2,S12="b"),R16,"")),IF(OR(S12=1,S12="a"),R8,IF(OR(S12=2,S12="b"),R16,""))))</f>
        <v/>
      </c>
    </row>
    <row r="13" spans="1:21" ht="12" customHeight="1" x14ac:dyDescent="0.25">
      <c r="A13" s="262">
        <v>9</v>
      </c>
      <c r="B13" s="278">
        <f>VALUE([3]Setup!E2)</f>
        <v>3</v>
      </c>
      <c r="C13" s="250"/>
      <c r="D13" s="247">
        <f t="shared" si="1"/>
        <v>3</v>
      </c>
      <c r="E13" s="251">
        <v>0</v>
      </c>
      <c r="F13" s="27">
        <f>IF(NOT($G13="-"),VLOOKUP($G13,[3]DrawPrep!$A$3:$F$34,2,FALSE),"")</f>
        <v>0</v>
      </c>
      <c r="G13" s="263">
        <f>VLOOKUP($B13,[3]Setup!$K$2:$L$33,2,FALSE)</f>
        <v>3</v>
      </c>
      <c r="H13" s="129">
        <f>IF($G13&gt;0,VLOOKUP($G13,[3]DrawPrep!$A$3:$F$34,6,FALSE),0)</f>
        <v>3</v>
      </c>
      <c r="I13" s="183">
        <f>IF([3]Setup!$B$24="#",0,IF($G13&gt;0,VLOOKUP($G13,[3]DrawPrep!$A$3:$F$34,3,FALSE),0))</f>
        <v>34427</v>
      </c>
      <c r="J13" s="182" t="str">
        <f>IF($I13&gt;0,VLOOKUP($I13,[3]DrawPrep!$C$3:$F$34,2,FALSE),"bye")</f>
        <v>ΣΑΚΕΛΛΑΡΙΔΗ ΣΑΠΦΩ</v>
      </c>
      <c r="K13" s="183" t="str">
        <f t="shared" si="0"/>
        <v>ΣΑΚΕΛΛΑΡΙΔΗ</v>
      </c>
      <c r="L13" s="47" t="str">
        <f>IF($I13&gt;0,VLOOKUP($I13,[3]DrawPrep!$C$3:$F$34,3,FALSE),"")</f>
        <v>ΑΟΑ ΠΑΠΑΓΟΥ</v>
      </c>
      <c r="M13" s="66">
        <v>1</v>
      </c>
      <c r="N13" s="49" t="str">
        <f>UPPER(IF($A$2="R",IF(OR(M13=1,M13="a"),I13,IF(OR(M13=2,M13="b"),I14,"")),IF(OR(M13=1,M13="a"),K13,IF(OR(M13=2,M13="b"),K14,""))))</f>
        <v>ΣΑΚΕΛΛΑΡΙΔΗ</v>
      </c>
      <c r="O13" s="37"/>
      <c r="P13" s="38"/>
      <c r="R13" s="38"/>
      <c r="S13" s="214"/>
      <c r="T13" s="257"/>
    </row>
    <row r="14" spans="1:21" ht="12" customHeight="1" x14ac:dyDescent="0.25">
      <c r="A14" s="262">
        <v>10</v>
      </c>
      <c r="B14" s="245">
        <f>7-D14+8</f>
        <v>11</v>
      </c>
      <c r="C14" s="279">
        <f>B13</f>
        <v>3</v>
      </c>
      <c r="D14" s="247">
        <f t="shared" si="1"/>
        <v>4</v>
      </c>
      <c r="E14" s="248">
        <f>IF($B$2&gt;=C14,1,0)</f>
        <v>1</v>
      </c>
      <c r="F14" s="27" t="str">
        <f>IF(NOT($G14="-"),VLOOKUP($G14,[3]DrawPrep!$A$3:$F$34,2,FALSE),"")</f>
        <v/>
      </c>
      <c r="G14" s="27" t="str">
        <f>IF($B$2&gt;=C14,"-",VLOOKUP($B14,[3]Setup!$K$2:$L$33,2,FALSE))</f>
        <v>-</v>
      </c>
      <c r="H14" s="129">
        <f>IF(NOT($G14="-"),VLOOKUP($G14,[3]DrawPrep!$A$3:$F$34,6,FALSE),0)</f>
        <v>0</v>
      </c>
      <c r="I14" s="36">
        <f>IF([3]Setup!$B$24="#",0,IF(NOT($G14="-"),VLOOKUP($G14,[3]DrawPrep!$A$3:$F$34,3,FALSE),0))</f>
        <v>0</v>
      </c>
      <c r="J14" s="185" t="str">
        <f>IF($I14&gt;0,VLOOKUP($I14,[3]DrawPrep!$C$3:$F$34,2,FALSE),"bye")</f>
        <v>bye</v>
      </c>
      <c r="K14" s="36" t="str">
        <f t="shared" si="0"/>
        <v/>
      </c>
      <c r="L14" s="64" t="str">
        <f>IF($I14&gt;0,VLOOKUP($I14,[3]DrawPrep!$C$3:$F$34,3,FALSE),"")</f>
        <v/>
      </c>
      <c r="M14" s="81"/>
      <c r="N14" s="58"/>
      <c r="O14" s="66"/>
      <c r="P14" s="49" t="str">
        <f>UPPER(IF($A$2="R",IF(OR(O14=1,O14="a"),N13,IF(OR(O14=2,O14="b"),N15,"")),IF(OR(O14=1,O14="a"),N13,IF(OR(O14=2,O14="b"),N15,""))))</f>
        <v/>
      </c>
      <c r="Q14" s="37"/>
      <c r="R14" s="38"/>
      <c r="S14" s="214"/>
      <c r="T14" s="259"/>
    </row>
    <row r="15" spans="1:21" ht="12" customHeight="1" x14ac:dyDescent="0.25">
      <c r="A15" s="283">
        <v>11</v>
      </c>
      <c r="B15" s="284">
        <f>8-D15+8</f>
        <v>12</v>
      </c>
      <c r="C15" s="285"/>
      <c r="D15" s="286">
        <f t="shared" si="1"/>
        <v>4</v>
      </c>
      <c r="E15" s="286">
        <v>0</v>
      </c>
      <c r="F15" s="287">
        <f>IF(NOT($G15="-"),VLOOKUP($G15,[3]DrawPrep!$A$3:$F$34,2,FALSE),"")</f>
        <v>0</v>
      </c>
      <c r="G15" s="287">
        <f>VLOOKUP($B15,[3]Setup!$K$2:$L$33,2,FALSE)</f>
        <v>13</v>
      </c>
      <c r="H15" s="288">
        <f>IF($G15&gt;0,VLOOKUP($G15,[3]DrawPrep!$A$3:$F$34,6,FALSE),0)</f>
        <v>0</v>
      </c>
      <c r="I15" s="104">
        <f>IF([3]Setup!$B$24="#",0,IF($G15&gt;0,VLOOKUP($G15,[3]DrawPrep!$A$3:$F$34,3,FALSE),0))</f>
        <v>6177</v>
      </c>
      <c r="J15" s="289" t="str">
        <f>IF($I15&gt;0,VLOOKUP($I15,[3]DrawPrep!$C$3:$F$34,2,FALSE),"bye")</f>
        <v>ΠΑΠΑΔΗΜΗΤΡΙΟΥ ΕΥΑΓΓΕΛΙΑ</v>
      </c>
      <c r="K15" s="104" t="str">
        <f t="shared" si="0"/>
        <v>ΠΑΠΑΔΗΜΗΤΡΙΟΥ</v>
      </c>
      <c r="L15" s="106" t="str">
        <f>IF($I15&gt;0,VLOOKUP($I15,[3]DrawPrep!$C$3:$F$34,3,FALSE),"")</f>
        <v>ΑΟ ΚΗΦΙΣΙΑΣ</v>
      </c>
      <c r="M15" s="66"/>
      <c r="N15" s="49" t="str">
        <f>UPPER(IF($A$2="R",IF(OR(M15=1,M15="a"),I15,IF(OR(M15=2,M15="b"),I16,"")),IF(OR(M15=1,M15="a"),K15,IF(OR(M15=2,M15="b"),K16,""))))</f>
        <v/>
      </c>
      <c r="O15" s="81"/>
      <c r="P15" s="58"/>
      <c r="Q15" s="37"/>
      <c r="R15" s="38"/>
      <c r="S15" s="214"/>
      <c r="T15" s="259"/>
    </row>
    <row r="16" spans="1:21" ht="12" customHeight="1" x14ac:dyDescent="0.25">
      <c r="A16" s="290">
        <v>12</v>
      </c>
      <c r="B16" s="284">
        <f>9-D16+8</f>
        <v>13</v>
      </c>
      <c r="C16" s="285">
        <v>13</v>
      </c>
      <c r="D16" s="286">
        <f t="shared" si="1"/>
        <v>4</v>
      </c>
      <c r="E16" s="286">
        <f>IF($B$2&gt;=C16,1,0)</f>
        <v>0</v>
      </c>
      <c r="F16" s="291">
        <f>IF(NOT($G16="-"),VLOOKUP($G16,[3]DrawPrep!$A$3:$F$34,2,FALSE),"")</f>
        <v>0</v>
      </c>
      <c r="G16" s="291">
        <f>IF($B$2&gt;=C16,"-",VLOOKUP($B16,[3]Setup!$K$2:$L$33,2,FALSE))</f>
        <v>11</v>
      </c>
      <c r="H16" s="292">
        <f>IF(NOT($G16="-"),VLOOKUP($G16,[3]DrawPrep!$A$3:$F$34,6,FALSE),0)</f>
        <v>0.1</v>
      </c>
      <c r="I16" s="114">
        <f>IF([3]Setup!$B$24="#",0,IF(NOT($G16="-"),VLOOKUP($G16,[3]DrawPrep!$A$3:$F$34,3,FALSE),0))</f>
        <v>37314</v>
      </c>
      <c r="J16" s="293" t="str">
        <f>IF($I16&gt;0,VLOOKUP($I16,[3]DrawPrep!$C$3:$F$34,2,FALSE),"bye")</f>
        <v>ΜΑΝΩΛΑ ΚΩΝΣΤΑΝΤΙΝΑ</v>
      </c>
      <c r="K16" s="114" t="str">
        <f t="shared" si="0"/>
        <v>ΜΑΝΩΛΑ</v>
      </c>
      <c r="L16" s="116" t="str">
        <f>IF($I16&gt;0,VLOOKUP($I16,[3]DrawPrep!$C$3:$F$34,3,FALSE),"")</f>
        <v>ΑΟ ΠΕΥΚΗΣ TIE BREAK</v>
      </c>
      <c r="M16" s="71"/>
      <c r="N16" s="172"/>
      <c r="O16" s="37"/>
      <c r="P16" s="65"/>
      <c r="Q16" s="48"/>
      <c r="R16" s="49" t="str">
        <f>UPPER(IF($A$2="R",IF(OR(Q16=1,Q16="a"),P14,IF(OR(Q16=2,Q16="b"),P18,"")),IF(OR(Q16=1,Q16="a"),P14,IF(OR(Q16=2,Q16="b"),P18,""))))</f>
        <v/>
      </c>
      <c r="S16" s="214"/>
      <c r="T16" s="259"/>
    </row>
    <row r="17" spans="1:20" s="13" customFormat="1" ht="11.4" x14ac:dyDescent="0.25">
      <c r="A17" s="262">
        <v>13</v>
      </c>
      <c r="B17" s="245">
        <f>10-D17+8</f>
        <v>14</v>
      </c>
      <c r="C17" s="250"/>
      <c r="D17" s="247">
        <f t="shared" si="1"/>
        <v>4</v>
      </c>
      <c r="E17" s="251">
        <v>0</v>
      </c>
      <c r="F17" s="27" t="e">
        <f>IF(NOT($G17="-"),VLOOKUP($G17,[3]DrawPrep!$A$3:$F$34,2,FALSE),"")</f>
        <v>#N/A</v>
      </c>
      <c r="G17" s="27"/>
      <c r="H17" s="129">
        <f>IF($G17&gt;0,VLOOKUP($G17,[3]DrawPrep!$A$3:$F$34,6,FALSE),0)</f>
        <v>0</v>
      </c>
      <c r="I17" s="36">
        <f>IF([3]Setup!$B$24="#",0,IF($G17&gt;0,VLOOKUP($G17,[3]DrawPrep!$A$3:$F$34,3,FALSE),0))</f>
        <v>0</v>
      </c>
      <c r="J17" s="185" t="str">
        <f>IF($I17&gt;0,VLOOKUP($I17,[3]DrawPrep!$C$3:$F$34,2,FALSE),"bye")</f>
        <v>bye</v>
      </c>
      <c r="K17" s="36" t="str">
        <f t="shared" si="0"/>
        <v/>
      </c>
      <c r="L17" s="64" t="str">
        <f>IF($I17&gt;0,VLOOKUP($I17,[3]DrawPrep!$C$3:$F$34,3,FALSE),"")</f>
        <v/>
      </c>
      <c r="M17" s="66">
        <v>2</v>
      </c>
      <c r="N17" s="49" t="str">
        <f>UPPER(IF($A$2="R",IF(OR(M17=1,M17="a"),I17,IF(OR(M17=2,M17="b"),I18,"")),IF(OR(M17=1,M17="a"),K17,IF(OR(M17=2,M17="b"),K18,""))))</f>
        <v>ΓΕΡΑΣΙΜΟΥ</v>
      </c>
      <c r="O17" s="37"/>
      <c r="P17" s="65"/>
      <c r="Q17" s="37"/>
      <c r="R17" s="172"/>
      <c r="S17" s="37"/>
      <c r="T17" s="259"/>
    </row>
    <row r="18" spans="1:20" s="13" customFormat="1" ht="11.4" x14ac:dyDescent="0.25">
      <c r="A18" s="262">
        <v>14</v>
      </c>
      <c r="B18" s="245">
        <f>11-D18+8</f>
        <v>14</v>
      </c>
      <c r="C18" s="246">
        <v>11</v>
      </c>
      <c r="D18" s="247">
        <f t="shared" si="1"/>
        <v>5</v>
      </c>
      <c r="E18" s="248">
        <f>IF($B$2&gt;=C18,1,0)</f>
        <v>1</v>
      </c>
      <c r="F18" s="27">
        <f>IF(NOT($G18="-"),VLOOKUP($G18,[3]DrawPrep!$A$3:$F$34,2,FALSE),"")</f>
        <v>0</v>
      </c>
      <c r="G18" s="27">
        <v>20</v>
      </c>
      <c r="H18" s="129">
        <f>IF(NOT($G18="-"),VLOOKUP($G18,[3]DrawPrep!$A$3:$F$34,6,FALSE),0)</f>
        <v>0</v>
      </c>
      <c r="I18" s="36">
        <f>IF([3]Setup!$B$24="#",0,IF(NOT($G18="-"),VLOOKUP($G18,[3]DrawPrep!$A$3:$F$34,3,FALSE),0))</f>
        <v>10452</v>
      </c>
      <c r="J18" s="185" t="str">
        <f>IF($I18&gt;0,VLOOKUP($I18,[3]DrawPrep!$C$3:$F$34,2,FALSE),"bye")</f>
        <v>ΓΕΡΑΣΙΜΟΥ ΑΝΝΑ</v>
      </c>
      <c r="K18" s="36" t="str">
        <f t="shared" si="0"/>
        <v>ΓΕΡΑΣΙΜΟΥ</v>
      </c>
      <c r="L18" s="64" t="str">
        <f>IF($I18&gt;0,VLOOKUP($I18,[3]DrawPrep!$C$3:$F$34,3,FALSE),"")</f>
        <v>ΟΑ ΑΘΗΝΩΝ</v>
      </c>
      <c r="M18" s="81"/>
      <c r="N18" s="58"/>
      <c r="O18" s="66"/>
      <c r="P18" s="49" t="str">
        <f>UPPER(IF($A$2="R",IF(OR(O18=1,O18="a"),N17,IF(OR(O18=2,O18="b"),N19,"")),IF(OR(O18=1,O18="a"),N17,IF(OR(O18=2,O18="b"),N19,""))))</f>
        <v/>
      </c>
      <c r="Q18" s="214"/>
      <c r="R18" s="38"/>
      <c r="S18" s="37"/>
      <c r="T18" s="259"/>
    </row>
    <row r="19" spans="1:20" s="13" customFormat="1" ht="11.4" x14ac:dyDescent="0.25">
      <c r="A19" s="283">
        <v>15</v>
      </c>
      <c r="B19" s="284">
        <f>12-D19+8</f>
        <v>14</v>
      </c>
      <c r="C19" s="285">
        <f>B20</f>
        <v>7</v>
      </c>
      <c r="D19" s="286">
        <f t="shared" si="1"/>
        <v>6</v>
      </c>
      <c r="E19" s="286">
        <f>IF($B$2&gt;=C19,1,0)</f>
        <v>1</v>
      </c>
      <c r="F19" s="287" t="str">
        <f>IF(NOT($G19="-"),VLOOKUP($G19,[3]DrawPrep!$A$3:$F$34,2,FALSE),"")</f>
        <v/>
      </c>
      <c r="G19" s="287" t="str">
        <f>IF($B$2&gt;=C19,"-",VLOOKUP($B19,[3]Setup!$K$2:$L$33,2,FALSE))</f>
        <v>-</v>
      </c>
      <c r="H19" s="288">
        <f>IF(NOT($G19="-"),VLOOKUP($G19,[3]DrawPrep!$A$3:$F$34,6,FALSE),0)</f>
        <v>0</v>
      </c>
      <c r="I19" s="104">
        <f>IF([3]Setup!$B$24="#",0,IF(NOT($G19="-"),VLOOKUP($G19,[3]DrawPrep!$A$3:$F$34,3,FALSE),0))</f>
        <v>0</v>
      </c>
      <c r="J19" s="289" t="str">
        <f>IF($I19&gt;0,VLOOKUP($I19,[3]DrawPrep!$C$3:$F$34,2,FALSE),"bye")</f>
        <v>bye</v>
      </c>
      <c r="K19" s="104" t="str">
        <f t="shared" si="0"/>
        <v/>
      </c>
      <c r="L19" s="106" t="str">
        <f>IF($I19&gt;0,VLOOKUP($I19,[3]DrawPrep!$C$3:$F$34,3,FALSE),"")</f>
        <v/>
      </c>
      <c r="M19" s="66">
        <v>2</v>
      </c>
      <c r="N19" s="49" t="str">
        <f>UPPER(IF($A$2="R",IF(OR(M19=1,M19="a"),I19,IF(OR(M19=2,M19="b"),I20,"")),IF(OR(M19=1,M19="a"),K19,IF(OR(M19=2,M19="b"),K20,""))))</f>
        <v>ΚΑΠΙΤΣΑΚΗ</v>
      </c>
      <c r="O19" s="81"/>
      <c r="P19" s="172"/>
      <c r="Q19" s="37"/>
      <c r="R19" s="38"/>
      <c r="S19" s="37"/>
      <c r="T19" s="259"/>
    </row>
    <row r="20" spans="1:20" s="13" customFormat="1" ht="12" x14ac:dyDescent="0.25">
      <c r="A20" s="290">
        <v>16</v>
      </c>
      <c r="B20" s="296">
        <f>VALUE([3]Setup!E6)</f>
        <v>7</v>
      </c>
      <c r="C20" s="285"/>
      <c r="D20" s="286">
        <f t="shared" si="1"/>
        <v>6</v>
      </c>
      <c r="E20" s="286">
        <v>0</v>
      </c>
      <c r="F20" s="291">
        <f>IF(NOT($G20="-"),VLOOKUP($G20,[3]DrawPrep!$A$3:$F$34,2,FALSE),"")</f>
        <v>0</v>
      </c>
      <c r="G20" s="294">
        <f>VLOOKUP($B20,[3]Setup!$K$2:$L$33,2,FALSE)</f>
        <v>7</v>
      </c>
      <c r="H20" s="292">
        <f>IF($G20&gt;0,VLOOKUP($G20,[3]DrawPrep!$A$3:$F$34,6,FALSE),0)</f>
        <v>0.5</v>
      </c>
      <c r="I20" s="123">
        <f>IF([3]Setup!$B$24="#",0,IF($G20&gt;0,VLOOKUP($G20,[3]DrawPrep!$A$3:$F$34,3,FALSE),0))</f>
        <v>4835</v>
      </c>
      <c r="J20" s="295" t="str">
        <f>IF($I20&gt;0,VLOOKUP($I20,[3]DrawPrep!$C$3:$F$34,2,FALSE),"bye")</f>
        <v>ΚΑΠΙΤΣΑΚΗ ΕΛΕΝΗ</v>
      </c>
      <c r="K20" s="123" t="str">
        <f t="shared" si="0"/>
        <v>ΚΑΠΙΤΣΑΚΗ</v>
      </c>
      <c r="L20" s="124" t="str">
        <f>IF($I20&gt;0,VLOOKUP($I20,[3]DrawPrep!$C$3:$F$34,3,FALSE),"")</f>
        <v>ΟΑ ΚΕΡΑΤΣΙΝΙΟΥ</v>
      </c>
      <c r="M20" s="81"/>
      <c r="N20" s="172"/>
      <c r="O20" s="37"/>
      <c r="P20" s="38"/>
      <c r="Q20" s="37"/>
      <c r="R20" s="38"/>
      <c r="S20" s="5"/>
      <c r="T20" s="280" t="str">
        <f>UPPER(IF($A$2="R",IF(OR(S20=1,S20="a"),T12,IF(OR(S20=2,S20="b"),T28,"")),IF(OR(S20=1,S20="a"),T12,IF(OR(S20=2,S20="b"),T28,""))))</f>
        <v/>
      </c>
    </row>
    <row r="21" spans="1:20" s="13" customFormat="1" ht="12" x14ac:dyDescent="0.25">
      <c r="A21" s="262">
        <v>17</v>
      </c>
      <c r="B21" s="277">
        <f>VALUE([3]Setup!E7)</f>
        <v>8</v>
      </c>
      <c r="C21" s="250"/>
      <c r="D21" s="247">
        <f t="shared" si="1"/>
        <v>6</v>
      </c>
      <c r="E21" s="251">
        <v>0</v>
      </c>
      <c r="F21" s="27">
        <f>IF(NOT($G21="-"),VLOOKUP($G21,[3]DrawPrep!$A$3:$F$34,2,FALSE),"")</f>
        <v>0</v>
      </c>
      <c r="G21" s="263">
        <f>VLOOKUP($B21,[3]Setup!$K$2:$L$33,2,FALSE)</f>
        <v>8</v>
      </c>
      <c r="H21" s="129">
        <f>IF($G21&gt;0,VLOOKUP($G21,[3]DrawPrep!$A$3:$F$34,6,FALSE),0)</f>
        <v>0.5</v>
      </c>
      <c r="I21" s="183">
        <f>IF([3]Setup!$B$24="#",0,IF($G21&gt;0,VLOOKUP($G21,[3]DrawPrep!$A$3:$F$34,3,FALSE),0))</f>
        <v>30318</v>
      </c>
      <c r="J21" s="182" t="str">
        <f>IF($I21&gt;0,VLOOKUP($I21,[3]DrawPrep!$C$3:$F$34,2,FALSE),"bye")</f>
        <v>ΤΣΑΔΑΡΗ ΙΩΑΝΝΑ-ΔΗΜΗΤΡΑ</v>
      </c>
      <c r="K21" s="183" t="str">
        <f t="shared" si="0"/>
        <v>ΤΣΑΔΑΡΗ</v>
      </c>
      <c r="L21" s="47" t="str">
        <f>IF($I21&gt;0,VLOOKUP($I21,[3]DrawPrep!$C$3:$F$34,3,FALSE),"")</f>
        <v>ΟΑ ΠΕΤΡΟΥΠΟΛΗΣ</v>
      </c>
      <c r="M21" s="66">
        <v>1</v>
      </c>
      <c r="N21" s="49" t="str">
        <f>UPPER(IF($A$2="R",IF(OR(M21=1,M21="a"),I21,IF(OR(M21=2,M21="b"),I22,"")),IF(OR(M21=1,M21="a"),K21,IF(OR(M21=2,M21="b"),K22,""))))</f>
        <v>ΤΣΑΔΑΡΗ</v>
      </c>
      <c r="O21" s="37"/>
      <c r="P21" s="38"/>
      <c r="Q21" s="39"/>
      <c r="R21" s="38"/>
      <c r="S21" s="37"/>
      <c r="T21" s="264"/>
    </row>
    <row r="22" spans="1:20" s="13" customFormat="1" ht="11.4" x14ac:dyDescent="0.25">
      <c r="A22" s="244">
        <v>18</v>
      </c>
      <c r="B22" s="245">
        <f>13-D22+8</f>
        <v>14</v>
      </c>
      <c r="C22" s="246">
        <f>B21</f>
        <v>8</v>
      </c>
      <c r="D22" s="247">
        <f t="shared" si="1"/>
        <v>7</v>
      </c>
      <c r="E22" s="248">
        <f>IF($B$2&gt;=C22,1,0)</f>
        <v>1</v>
      </c>
      <c r="F22" s="221" t="str">
        <f>IF(NOT($G22="-"),VLOOKUP($G22,[3]DrawPrep!$A$3:$F$34,2,FALSE),"")</f>
        <v/>
      </c>
      <c r="G22" s="221" t="str">
        <f>IF($B$2&gt;=C22,"-",VLOOKUP($B22,[3]Setup!$K$2:$L$33,2,FALSE))</f>
        <v>-</v>
      </c>
      <c r="H22" s="168">
        <f>IF(NOT($G22="-"),VLOOKUP($G22,[3]DrawPrep!$A$3:$F$34,6,FALSE),0)</f>
        <v>0</v>
      </c>
      <c r="I22" s="49">
        <f>IF([3]Setup!$B$24="#",0,IF(NOT($G22="-"),VLOOKUP($G22,[3]DrawPrep!$A$3:$F$34,3,FALSE),0))</f>
        <v>0</v>
      </c>
      <c r="J22" s="169" t="str">
        <f>IF($I22&gt;0,VLOOKUP($I22,[3]DrawPrep!$C$3:$F$34,2,FALSE),"bye")</f>
        <v>bye</v>
      </c>
      <c r="K22" s="49" t="str">
        <f t="shared" si="0"/>
        <v/>
      </c>
      <c r="L22" s="82" t="str">
        <f>IF($I22&gt;0,VLOOKUP($I22,[3]DrawPrep!$C$3:$F$34,3,FALSE),"")</f>
        <v/>
      </c>
      <c r="M22" s="81"/>
      <c r="N22" s="58"/>
      <c r="O22" s="66"/>
      <c r="P22" s="49" t="str">
        <f>UPPER(IF($A$2="R",IF(OR(O22=1,O22="a"),N21,IF(OR(O22=2,O22="b"),N23,"")),IF(OR(O22=1,O22="a"),N21,IF(OR(O22=2,O22="b"),N23,""))))</f>
        <v/>
      </c>
      <c r="Q22" s="37"/>
      <c r="R22" s="38"/>
      <c r="S22" s="37"/>
      <c r="T22" s="259"/>
    </row>
    <row r="23" spans="1:20" s="13" customFormat="1" ht="11.4" x14ac:dyDescent="0.25">
      <c r="A23" s="283">
        <v>19</v>
      </c>
      <c r="B23" s="284">
        <f>14-D23+8</f>
        <v>15</v>
      </c>
      <c r="C23" s="285"/>
      <c r="D23" s="286">
        <f t="shared" si="1"/>
        <v>7</v>
      </c>
      <c r="E23" s="286">
        <v>0</v>
      </c>
      <c r="F23" s="287">
        <f>IF(NOT($G23="-"),VLOOKUP($G23,[3]DrawPrep!$A$3:$F$34,2,FALSE),"")</f>
        <v>0</v>
      </c>
      <c r="G23" s="287">
        <v>12</v>
      </c>
      <c r="H23" s="288">
        <f>IF($G23&gt;0,VLOOKUP($G23,[3]DrawPrep!$A$3:$F$34,6,FALSE),0)</f>
        <v>0</v>
      </c>
      <c r="I23" s="104">
        <f>IF([3]Setup!$B$24="#",0,IF($G23&gt;0,VLOOKUP($G23,[3]DrawPrep!$A$3:$F$34,3,FALSE),0))</f>
        <v>90158</v>
      </c>
      <c r="J23" s="289" t="str">
        <f>IF($I23&gt;0,VLOOKUP($I23,[3]DrawPrep!$C$3:$F$34,2,FALSE),"bye")</f>
        <v>ΤΟΝΤΟΡΟΒΑ ΓΚΑΜΠΡΙΕΛΑ</v>
      </c>
      <c r="K23" s="104" t="str">
        <f t="shared" si="0"/>
        <v>ΤΟΝΤΟΡΟΒΑ</v>
      </c>
      <c r="L23" s="106" t="str">
        <f>IF($I23&gt;0,VLOOKUP($I23,[3]DrawPrep!$C$3:$F$34,3,FALSE),"")</f>
        <v>ΑΟΑ ΦΙΛΟΘΕΗΣ</v>
      </c>
      <c r="M23" s="66"/>
      <c r="N23" s="49" t="str">
        <f>UPPER(IF($A$2="R",IF(OR(M23=1,M23="a"),I23,IF(OR(M23=2,M23="b"),I24,"")),IF(OR(M23=1,M23="a"),K23,IF(OR(M23=2,M23="b"),K24,""))))</f>
        <v/>
      </c>
      <c r="O23" s="81"/>
      <c r="P23" s="58"/>
      <c r="Q23" s="37"/>
      <c r="R23" s="38"/>
      <c r="S23" s="37"/>
      <c r="T23" s="259"/>
    </row>
    <row r="24" spans="1:20" s="13" customFormat="1" ht="11.4" x14ac:dyDescent="0.25">
      <c r="A24" s="290">
        <v>20</v>
      </c>
      <c r="B24" s="284">
        <f>15-D24+8</f>
        <v>16</v>
      </c>
      <c r="C24" s="285">
        <v>12</v>
      </c>
      <c r="D24" s="286">
        <f t="shared" si="1"/>
        <v>7</v>
      </c>
      <c r="E24" s="286">
        <f>IF($B$2&gt;=C24,1,0)</f>
        <v>0</v>
      </c>
      <c r="F24" s="291">
        <f>IF(NOT($G24="-"),VLOOKUP($G24,[3]DrawPrep!$A$3:$F$34,2,FALSE),"")</f>
        <v>0</v>
      </c>
      <c r="G24" s="291">
        <f>IF($B$2&gt;=C24,"-",VLOOKUP($B24,[3]Setup!$K$2:$L$33,2,FALSE))</f>
        <v>15</v>
      </c>
      <c r="H24" s="292">
        <f>IF(NOT($G24="-"),VLOOKUP($G24,[3]DrawPrep!$A$3:$F$34,6,FALSE),0)</f>
        <v>0</v>
      </c>
      <c r="I24" s="114">
        <f>IF([3]Setup!$B$24="#",0,IF(NOT($G24="-"),VLOOKUP($G24,[3]DrawPrep!$A$3:$F$34,3,FALSE),0))</f>
        <v>22914</v>
      </c>
      <c r="J24" s="293" t="str">
        <f>IF($I24&gt;0,VLOOKUP($I24,[3]DrawPrep!$C$3:$F$34,2,FALSE),"bye")</f>
        <v>ΓΕΝΝΗΜΑΤΑ ΜΑΡΙΝΑ</v>
      </c>
      <c r="K24" s="114" t="str">
        <f t="shared" si="0"/>
        <v>ΓΕΝΝΗΜΑΤΑ</v>
      </c>
      <c r="L24" s="116" t="str">
        <f>IF($I24&gt;0,VLOOKUP($I24,[3]DrawPrep!$C$3:$F$34,3,FALSE),"")</f>
        <v>ΑΚΑ ΜΑΡΑΘΩΝΑ</v>
      </c>
      <c r="M24" s="81"/>
      <c r="N24" s="15"/>
      <c r="O24" s="37"/>
      <c r="P24" s="65"/>
      <c r="Q24" s="66"/>
      <c r="R24" s="49" t="str">
        <f>UPPER(IF($A$2="R",IF(OR(Q24=1,Q24="a"),P22,IF(OR(Q24=2,Q24="b"),P26,"")),IF(OR(Q24=1,Q24="a"),P22,IF(OR(Q24=2,Q24="b"),P26,""))))</f>
        <v/>
      </c>
      <c r="S24" s="37"/>
      <c r="T24" s="259"/>
    </row>
    <row r="25" spans="1:20" s="13" customFormat="1" ht="11.4" x14ac:dyDescent="0.25">
      <c r="A25" s="262">
        <v>21</v>
      </c>
      <c r="B25" s="245">
        <f>16-D25+8</f>
        <v>17</v>
      </c>
      <c r="C25" s="250"/>
      <c r="D25" s="247">
        <f t="shared" si="1"/>
        <v>7</v>
      </c>
      <c r="E25" s="251">
        <v>0</v>
      </c>
      <c r="F25" s="27">
        <f>IF(NOT($G25="-"),VLOOKUP($G25,[3]DrawPrep!$A$3:$F$34,2,FALSE),"")</f>
        <v>0</v>
      </c>
      <c r="G25" s="27">
        <f>VLOOKUP($B25,[3]Setup!$K$2:$L$33,2,FALSE)</f>
        <v>9</v>
      </c>
      <c r="H25" s="129">
        <f>IF($G25&gt;0,VLOOKUP($G25,[3]DrawPrep!$A$3:$F$34,6,FALSE),0)</f>
        <v>0.5</v>
      </c>
      <c r="I25" s="36">
        <f>IF([3]Setup!$B$24="#",0,IF($G25&gt;0,VLOOKUP($G25,[3]DrawPrep!$A$3:$F$34,3,FALSE),0))</f>
        <v>31131</v>
      </c>
      <c r="J25" s="185" t="str">
        <f>IF($I25&gt;0,VLOOKUP($I25,[3]DrawPrep!$C$3:$F$34,2,FALSE),"bye")</f>
        <v>ΔΗΜΗΤΡΑΚΟΠΟΥΛΟΥ ΣΕΜΕΛΗ-ΕΥΓΕΝΙΑ-ΕΛΙΣΑΒΕΤ</v>
      </c>
      <c r="K25" s="36" t="str">
        <f t="shared" si="0"/>
        <v>ΔΗΜΗΤΡΑΚΟΠΟΥΛΟΥ</v>
      </c>
      <c r="L25" s="64" t="str">
        <f>IF($I25&gt;0,VLOOKUP($I25,[3]DrawPrep!$C$3:$F$34,3,FALSE),"")</f>
        <v>ΑΣ ΑΚΡΟΠΟΛΙΣ</v>
      </c>
      <c r="M25" s="66"/>
      <c r="N25" s="49" t="str">
        <f>UPPER(IF($A$2="R",IF(OR(M25=1,M25="a"),I25,IF(OR(M25=2,M25="b"),I26,"")),IF(OR(M25=1,M25="a"),K25,IF(OR(M25=2,M25="b"),K26,""))))</f>
        <v/>
      </c>
      <c r="O25" s="37"/>
      <c r="P25" s="65"/>
      <c r="Q25" s="37"/>
      <c r="R25" s="172"/>
      <c r="S25" s="214"/>
      <c r="T25" s="259"/>
    </row>
    <row r="26" spans="1:20" s="13" customFormat="1" ht="11.4" x14ac:dyDescent="0.25">
      <c r="A26" s="262">
        <v>22</v>
      </c>
      <c r="B26" s="245">
        <f>17-D26+8</f>
        <v>18</v>
      </c>
      <c r="C26" s="246">
        <v>14</v>
      </c>
      <c r="D26" s="247">
        <f t="shared" si="1"/>
        <v>7</v>
      </c>
      <c r="E26" s="248">
        <f>IF($B$2&gt;=C26,1,0)</f>
        <v>0</v>
      </c>
      <c r="F26" s="27">
        <f>IF(NOT($G26="-"),VLOOKUP($G26,[3]DrawPrep!$A$3:$F$34,2,FALSE),"")</f>
        <v>0</v>
      </c>
      <c r="G26" s="27">
        <f>IF($B$2&gt;=C26,"-",VLOOKUP($B26,[3]Setup!$K$2:$L$33,2,FALSE))</f>
        <v>21</v>
      </c>
      <c r="H26" s="129">
        <f>IF(NOT($G26="-"),VLOOKUP($G26,[3]DrawPrep!$A$3:$F$34,6,FALSE),0)</f>
        <v>0</v>
      </c>
      <c r="I26" s="36">
        <f>IF([3]Setup!$B$24="#",0,IF(NOT($G26="-"),VLOOKUP($G26,[3]DrawPrep!$A$3:$F$34,3,FALSE),0))</f>
        <v>37647</v>
      </c>
      <c r="J26" s="185" t="str">
        <f>IF($I26&gt;0,VLOOKUP($I26,[3]DrawPrep!$C$3:$F$34,2,FALSE),"bye")</f>
        <v>ΠΑΠΑΓΕΩΡΓΙΟΥ ΕΛΕΑΝΝΑ</v>
      </c>
      <c r="K26" s="36" t="str">
        <f t="shared" si="0"/>
        <v>ΠΑΠΑΓΕΩΡΓΙΟΥ</v>
      </c>
      <c r="L26" s="64" t="str">
        <f>IF($I26&gt;0,VLOOKUP($I26,[3]DrawPrep!$C$3:$F$34,3,FALSE),"")</f>
        <v>ΑΟ ΑΤΛΑΝΤΙΣ</v>
      </c>
      <c r="M26" s="81"/>
      <c r="N26" s="58"/>
      <c r="O26" s="66"/>
      <c r="P26" s="49" t="str">
        <f>UPPER(IF($A$2="R",IF(OR(O26=1,O26="a"),N25,IF(OR(O26=2,O26="b"),N27,"")),IF(OR(O26=1,O26="a"),N25,IF(OR(O26=2,O26="b"),N27,""))))</f>
        <v/>
      </c>
      <c r="Q26" s="214"/>
      <c r="R26" s="38"/>
      <c r="S26" s="214"/>
      <c r="T26" s="259"/>
    </row>
    <row r="27" spans="1:20" s="13" customFormat="1" ht="11.4" x14ac:dyDescent="0.25">
      <c r="A27" s="283">
        <v>23</v>
      </c>
      <c r="B27" s="284">
        <f>18-D27+8</f>
        <v>18</v>
      </c>
      <c r="C27" s="297">
        <f>B28</f>
        <v>4</v>
      </c>
      <c r="D27" s="286">
        <f t="shared" si="1"/>
        <v>8</v>
      </c>
      <c r="E27" s="286">
        <f>IF($B$2&gt;=C27,1,0)</f>
        <v>1</v>
      </c>
      <c r="F27" s="287" t="str">
        <f>IF(NOT($G27="-"),VLOOKUP($G27,[3]DrawPrep!$A$3:$F$34,2,FALSE),"")</f>
        <v/>
      </c>
      <c r="G27" s="287" t="str">
        <f>IF($B$2&gt;=C27,"-",VLOOKUP($B27,[3]Setup!$K$2:$L$33,2,FALSE))</f>
        <v>-</v>
      </c>
      <c r="H27" s="288">
        <f>IF(NOT($G27="-"),VLOOKUP($G27,[3]DrawPrep!$A$3:$F$34,6,FALSE),0)</f>
        <v>0</v>
      </c>
      <c r="I27" s="104">
        <f>IF([3]Setup!$B$24="#",0,IF(NOT($G27="-"),VLOOKUP($G27,[3]DrawPrep!$A$3:$F$34,3,FALSE),0))</f>
        <v>0</v>
      </c>
      <c r="J27" s="289" t="str">
        <f>IF($I27&gt;0,VLOOKUP($I27,[3]DrawPrep!$C$3:$F$34,2,FALSE),"bye")</f>
        <v>bye</v>
      </c>
      <c r="K27" s="104" t="str">
        <f t="shared" si="0"/>
        <v/>
      </c>
      <c r="L27" s="106" t="str">
        <f>IF($I27&gt;0,VLOOKUP($I27,[3]DrawPrep!$C$3:$F$34,3,FALSE),"")</f>
        <v/>
      </c>
      <c r="M27" s="66">
        <v>2</v>
      </c>
      <c r="N27" s="49" t="str">
        <f>UPPER(IF($A$2="R",IF(OR(M27=1,M27="a"),I27,IF(OR(M27=2,M27="b"),I28,"")),IF(OR(M27=1,M27="a"),K27,IF(OR(M27=2,M27="b"),K28,""))))</f>
        <v>ΝΙΚΟΛΟΠΟΥΛΟΥ</v>
      </c>
      <c r="O27" s="81"/>
      <c r="P27" s="172"/>
      <c r="Q27" s="37"/>
      <c r="R27" s="38"/>
      <c r="S27" s="214"/>
      <c r="T27" s="259"/>
    </row>
    <row r="28" spans="1:20" s="13" customFormat="1" ht="12" x14ac:dyDescent="0.25">
      <c r="A28" s="290">
        <v>24</v>
      </c>
      <c r="B28" s="298">
        <f>VALUE([3]Setup!E3)</f>
        <v>4</v>
      </c>
      <c r="C28" s="285"/>
      <c r="D28" s="286">
        <f t="shared" si="1"/>
        <v>8</v>
      </c>
      <c r="E28" s="286">
        <v>0</v>
      </c>
      <c r="F28" s="291">
        <f>IF(NOT($G28="-"),VLOOKUP($G28,[3]DrawPrep!$A$3:$F$34,2,FALSE),"")</f>
        <v>0</v>
      </c>
      <c r="G28" s="294">
        <f>VLOOKUP($B28,[3]Setup!$K$2:$L$33,2,FALSE)</f>
        <v>4</v>
      </c>
      <c r="H28" s="292">
        <f>IF($G28&gt;0,VLOOKUP($G28,[3]DrawPrep!$A$3:$F$34,6,FALSE),0)</f>
        <v>3</v>
      </c>
      <c r="I28" s="123">
        <f>IF([3]Setup!$B$24="#",0,IF($G28&gt;0,VLOOKUP($G28,[3]DrawPrep!$A$3:$F$34,3,FALSE),0))</f>
        <v>27688</v>
      </c>
      <c r="J28" s="295" t="str">
        <f>IF($I28&gt;0,VLOOKUP($I28,[3]DrawPrep!$C$3:$F$34,2,FALSE),"bye")</f>
        <v>ΝΙΚΟΛΟΠΟΥΛΟΥ ΝΑΤΑΛΙΑ</v>
      </c>
      <c r="K28" s="123" t="str">
        <f t="shared" si="0"/>
        <v>ΝΙΚΟΛΟΠΟΥΛΟΥ</v>
      </c>
      <c r="L28" s="124" t="str">
        <f>IF($I28&gt;0,VLOOKUP($I28,[3]DrawPrep!$C$3:$F$34,3,FALSE),"")</f>
        <v>ΑΟΑ ΦΙΛΟΘΕΗΣ</v>
      </c>
      <c r="M28" s="81"/>
      <c r="N28" s="172"/>
      <c r="O28" s="39"/>
      <c r="P28" s="38"/>
      <c r="Q28" s="39"/>
      <c r="R28" s="38"/>
      <c r="S28" s="66"/>
      <c r="T28" s="265" t="str">
        <f>UPPER(IF($A$2="R",IF(OR(S28=1,S28="a"),R24,IF(OR(S28=2,S28="b"),R32,"")),IF(OR(S28=1,S28="a"),R24,IF(OR(S28=2,S28="b"),R32,""))))</f>
        <v/>
      </c>
    </row>
    <row r="29" spans="1:20" s="13" customFormat="1" ht="12" x14ac:dyDescent="0.25">
      <c r="A29" s="262">
        <v>25</v>
      </c>
      <c r="B29" s="277">
        <f>VALUE([3]Setup!E8)</f>
        <v>5</v>
      </c>
      <c r="C29" s="250"/>
      <c r="D29" s="247">
        <f t="shared" si="1"/>
        <v>8</v>
      </c>
      <c r="E29" s="251">
        <v>0</v>
      </c>
      <c r="F29" s="27">
        <f>IF(NOT($G29="-"),VLOOKUP($G29,[3]DrawPrep!$A$3:$F$34,2,FALSE),"")</f>
        <v>0</v>
      </c>
      <c r="G29" s="263">
        <f>VLOOKUP($B29,[3]Setup!$K$2:$L$33,2,FALSE)</f>
        <v>5</v>
      </c>
      <c r="H29" s="129">
        <f>IF($G29&gt;0,VLOOKUP($G29,[3]DrawPrep!$A$3:$F$34,6,FALSE),0)</f>
        <v>1.6</v>
      </c>
      <c r="I29" s="183">
        <f>IF([3]Setup!$B$24="#",0,IF($G29&gt;0,VLOOKUP($G29,[3]DrawPrep!$A$3:$F$34,3,FALSE),0))</f>
        <v>35538</v>
      </c>
      <c r="J29" s="182" t="str">
        <f>IF($I29&gt;0,VLOOKUP($I29,[3]DrawPrep!$C$3:$F$34,2,FALSE),"bye")</f>
        <v>ΒΑΣΙΛΕΙΑΔΗ ΜΑΡΙΑ</v>
      </c>
      <c r="K29" s="183" t="str">
        <f t="shared" si="0"/>
        <v>ΒΑΣΙΛΕΙΑΔΗ</v>
      </c>
      <c r="L29" s="47" t="str">
        <f>IF($I29&gt;0,VLOOKUP($I29,[3]DrawPrep!$C$3:$F$34,3,FALSE),"")</f>
        <v>ΑΟΑ ΦΙΛΟΘΕΗΣ</v>
      </c>
      <c r="M29" s="66">
        <v>1</v>
      </c>
      <c r="N29" s="49" t="str">
        <f>UPPER(IF($A$2="R",IF(OR(M29=1,M29="a"),I29,IF(OR(M29=2,M29="b"),I30,"")),IF(OR(M29=1,M29="a"),K29,IF(OR(M29=2,M29="b"),K30,""))))</f>
        <v>ΒΑΣΙΛΕΙΑΔΗ</v>
      </c>
      <c r="O29" s="37"/>
      <c r="P29" s="38"/>
      <c r="Q29" s="39"/>
      <c r="R29" s="65"/>
      <c r="S29" s="37"/>
      <c r="T29" s="27"/>
    </row>
    <row r="30" spans="1:20" s="13" customFormat="1" ht="11.4" x14ac:dyDescent="0.25">
      <c r="A30" s="244">
        <v>26</v>
      </c>
      <c r="B30" s="245">
        <f>19-D30+8</f>
        <v>18</v>
      </c>
      <c r="C30" s="246">
        <f>B29</f>
        <v>5</v>
      </c>
      <c r="D30" s="247">
        <f t="shared" si="1"/>
        <v>9</v>
      </c>
      <c r="E30" s="248">
        <f>IF($B$2&gt;=C30,1,0)</f>
        <v>1</v>
      </c>
      <c r="F30" s="221" t="str">
        <f>IF(NOT($G30="-"),VLOOKUP($G30,[3]DrawPrep!$A$3:$F$34,2,FALSE),"")</f>
        <v/>
      </c>
      <c r="G30" s="221" t="str">
        <f>IF($B$2&gt;=C30,"-",VLOOKUP($B30,[3]Setup!$K$2:$L$33,2,FALSE))</f>
        <v>-</v>
      </c>
      <c r="H30" s="168">
        <f>IF(NOT($G30="-"),VLOOKUP($G30,[3]DrawPrep!$A$3:$F$34,6,FALSE),0)</f>
        <v>0</v>
      </c>
      <c r="I30" s="49">
        <f>IF([3]Setup!$B$24="#",0,IF(NOT($G30="-"),VLOOKUP($G30,[3]DrawPrep!$A$3:$F$34,3,FALSE),0))</f>
        <v>0</v>
      </c>
      <c r="J30" s="169" t="str">
        <f>IF($I30&gt;0,VLOOKUP($I30,[3]DrawPrep!$C$3:$F$34,2,FALSE),"bye")</f>
        <v>bye</v>
      </c>
      <c r="K30" s="49" t="str">
        <f t="shared" si="0"/>
        <v/>
      </c>
      <c r="L30" s="82" t="str">
        <f>IF($I30&gt;0,VLOOKUP($I30,[3]DrawPrep!$C$3:$F$34,3,FALSE),"")</f>
        <v/>
      </c>
      <c r="M30" s="81"/>
      <c r="N30" s="58"/>
      <c r="O30" s="66"/>
      <c r="P30" s="49" t="str">
        <f>UPPER(IF($A$2="R",IF(OR(O30=1,O30="a"),N29,IF(OR(O30=2,O30="b"),N31,"")),IF(OR(O30=1,O30="a"),N29,IF(OR(O30=2,O30="b"),N31,""))))</f>
        <v/>
      </c>
      <c r="Q30" s="37"/>
      <c r="R30" s="65"/>
      <c r="S30" s="37"/>
      <c r="T30" s="38"/>
    </row>
    <row r="31" spans="1:20" s="13" customFormat="1" ht="11.4" x14ac:dyDescent="0.25">
      <c r="A31" s="299">
        <v>27</v>
      </c>
      <c r="B31" s="284">
        <f>20-D31+8</f>
        <v>19</v>
      </c>
      <c r="C31" s="285"/>
      <c r="D31" s="286">
        <f t="shared" si="1"/>
        <v>9</v>
      </c>
      <c r="E31" s="286">
        <v>0</v>
      </c>
      <c r="F31" s="300">
        <f>IF(NOT($G31="-"),VLOOKUP($G31,[3]DrawPrep!$A$3:$F$34,2,FALSE),"")</f>
        <v>0</v>
      </c>
      <c r="G31" s="300">
        <v>19</v>
      </c>
      <c r="H31" s="301">
        <f>IF($G31&gt;0,VLOOKUP($G31,[3]DrawPrep!$A$3:$F$34,6,FALSE),0)</f>
        <v>0</v>
      </c>
      <c r="I31" s="110">
        <f>IF([3]Setup!$B$24="#",0,IF($G31&gt;0,VLOOKUP($G31,[3]DrawPrep!$A$3:$F$34,3,FALSE),0))</f>
        <v>28170</v>
      </c>
      <c r="J31" s="302" t="str">
        <f>IF($I31&gt;0,VLOOKUP($I31,[3]DrawPrep!$C$3:$F$34,2,FALSE),"bye")</f>
        <v>ΤΣΕΛΟΥ ΑΘΑΝΑΣΙΑ</v>
      </c>
      <c r="K31" s="110" t="str">
        <f t="shared" si="0"/>
        <v>ΤΣΕΛΟΥ</v>
      </c>
      <c r="L31" s="112" t="str">
        <f>IF($I31&gt;0,VLOOKUP($I31,[3]DrawPrep!$C$3:$F$34,3,FALSE),"")</f>
        <v>ΑΟΑ ΠΑΠΑΓΟΥ</v>
      </c>
      <c r="M31" s="66"/>
      <c r="N31" s="49" t="str">
        <f>UPPER(IF($A$2="R",IF(OR(M31=1,M31="a"),I31,IF(OR(M31=2,M31="b"),I32,"")),IF(OR(M31=1,M31="a"),K31,IF(OR(M31=2,M31="b"),K32,""))))</f>
        <v/>
      </c>
      <c r="O31" s="81"/>
      <c r="P31" s="58"/>
      <c r="Q31" s="37"/>
      <c r="R31" s="65"/>
      <c r="S31" s="37"/>
      <c r="T31" s="38"/>
    </row>
    <row r="32" spans="1:20" s="13" customFormat="1" ht="11.4" x14ac:dyDescent="0.25">
      <c r="A32" s="299">
        <v>28</v>
      </c>
      <c r="B32" s="284">
        <f>21-D32+8</f>
        <v>19</v>
      </c>
      <c r="C32" s="285">
        <v>10</v>
      </c>
      <c r="D32" s="286">
        <f t="shared" si="1"/>
        <v>10</v>
      </c>
      <c r="E32" s="286">
        <f>IF($B$2&gt;=C32,1,0)</f>
        <v>1</v>
      </c>
      <c r="F32" s="300">
        <f>IF(NOT($G32="-"),VLOOKUP($G32,[3]DrawPrep!$A$3:$F$34,2,FALSE),"")</f>
        <v>0</v>
      </c>
      <c r="G32" s="300">
        <v>16</v>
      </c>
      <c r="H32" s="301">
        <f>IF(NOT($G32="-"),VLOOKUP($G32,[3]DrawPrep!$A$3:$F$34,6,FALSE),0)</f>
        <v>0</v>
      </c>
      <c r="I32" s="110">
        <f>IF([3]Setup!$B$24="#",0,IF(NOT($G32="-"),VLOOKUP($G32,[3]DrawPrep!$A$3:$F$34,3,FALSE),0))</f>
        <v>13507</v>
      </c>
      <c r="J32" s="302" t="str">
        <f>IF($I32&gt;0,VLOOKUP($I32,[3]DrawPrep!$C$3:$F$34,2,FALSE),"bye")</f>
        <v>ΒΑΣΙΛΕΙΑΔΟΥ ΕΙΡΗΝΗ</v>
      </c>
      <c r="K32" s="110" t="str">
        <f t="shared" si="0"/>
        <v>ΒΑΣΙΛΕΙΑΔΟΥ</v>
      </c>
      <c r="L32" s="112" t="str">
        <f>IF($I32&gt;0,VLOOKUP($I32,[3]DrawPrep!$C$3:$F$34,3,FALSE),"")</f>
        <v>ΟΑ ΒΟΥΛΙΑΓΜΕΝΗΣ Μ ΑΣΣΟΙ</v>
      </c>
      <c r="M32" s="71"/>
      <c r="N32" s="15"/>
      <c r="O32" s="37"/>
      <c r="P32" s="65"/>
      <c r="Q32" s="66"/>
      <c r="R32" s="49" t="str">
        <f>UPPER(IF($A$2="R",IF(OR(Q32=1,Q32="a"),P30,IF(OR(Q32=2,Q32="b"),P34,"")),IF(OR(Q32=1,Q32="a"),P30,IF(OR(Q32=2,Q32="b"),P34,""))))</f>
        <v/>
      </c>
      <c r="S32" s="214"/>
      <c r="T32" s="38"/>
    </row>
    <row r="33" spans="1:21" ht="12" customHeight="1" x14ac:dyDescent="0.25">
      <c r="A33" s="237">
        <v>29</v>
      </c>
      <c r="B33" s="245">
        <f>22-D33+8</f>
        <v>20</v>
      </c>
      <c r="C33" s="250"/>
      <c r="D33" s="247">
        <f t="shared" si="1"/>
        <v>10</v>
      </c>
      <c r="E33" s="251">
        <v>0</v>
      </c>
      <c r="F33" s="242">
        <f>IF(NOT($G33="-"),VLOOKUP($G33,[3]DrawPrep!$A$3:$F$34,2,FALSE),"")</f>
        <v>0</v>
      </c>
      <c r="G33" s="242">
        <f>VLOOKUP($B33,[3]Setup!$K$2:$L$33,2,FALSE)</f>
        <v>18</v>
      </c>
      <c r="H33" s="163">
        <f>IF($G33&gt;0,VLOOKUP($G33,[3]DrawPrep!$A$3:$F$34,6,FALSE),0)</f>
        <v>0</v>
      </c>
      <c r="I33" s="55">
        <f>IF([3]Setup!$B$24="#",0,IF($G33&gt;0,VLOOKUP($G33,[3]DrawPrep!$A$3:$F$34,3,FALSE),0))</f>
        <v>33310</v>
      </c>
      <c r="J33" s="171" t="str">
        <f>IF($I33&gt;0,VLOOKUP($I33,[3]DrawPrep!$C$3:$F$34,2,FALSE),"bye")</f>
        <v>ΛΟΓΟΘΕΤΗ ΕΛΛΗ-ΕΛΕΝΗ</v>
      </c>
      <c r="K33" s="55" t="str">
        <f t="shared" si="0"/>
        <v>ΛΟΓΟΘΕΤΗ</v>
      </c>
      <c r="L33" s="57" t="str">
        <f>IF($I33&gt;0,VLOOKUP($I33,[3]DrawPrep!$C$3:$F$34,3,FALSE),"")</f>
        <v>ΑΟΑ ΠΑΠΑΓΟΥ</v>
      </c>
      <c r="M33" s="167"/>
      <c r="N33" s="49" t="str">
        <f>UPPER(IF($A$2="R",IF(OR(M33=1,M33="a"),I33,IF(OR(M33=2,M33="b"),I34,"")),IF(OR(M33=1,M33="a"),K33,IF(OR(M33=2,M33="b"),K34,""))))</f>
        <v/>
      </c>
      <c r="O33" s="37"/>
      <c r="P33" s="65"/>
      <c r="Q33" s="37"/>
      <c r="R33" s="38"/>
      <c r="T33" s="38"/>
    </row>
    <row r="34" spans="1:21" ht="12" customHeight="1" x14ac:dyDescent="0.25">
      <c r="A34" s="244">
        <v>30</v>
      </c>
      <c r="B34" s="245">
        <f>23-D34+8</f>
        <v>21</v>
      </c>
      <c r="C34" s="246">
        <v>16</v>
      </c>
      <c r="D34" s="247">
        <f t="shared" si="1"/>
        <v>10</v>
      </c>
      <c r="E34" s="248">
        <f>IF($B$2&gt;=C34,1,0)</f>
        <v>0</v>
      </c>
      <c r="F34" s="221">
        <f>IF(NOT($G34="-"),VLOOKUP($G34,[3]DrawPrep!$A$3:$F$34,2,FALSE),"")</f>
        <v>0</v>
      </c>
      <c r="G34" s="221">
        <f>IF($B$2&gt;=C34,"-",VLOOKUP($B34,[3]Setup!$K$2:$L$33,2,FALSE))</f>
        <v>14</v>
      </c>
      <c r="H34" s="168">
        <f>IF(NOT($G34="-"),VLOOKUP($G34,[3]DrawPrep!$A$3:$F$34,6,FALSE),0)</f>
        <v>0</v>
      </c>
      <c r="I34" s="49">
        <f>IF([3]Setup!$B$24="#",0,IF(NOT($G34="-"),VLOOKUP($G34,[3]DrawPrep!$A$3:$F$34,3,FALSE),0))</f>
        <v>39453</v>
      </c>
      <c r="J34" s="169" t="str">
        <f>IF($I34&gt;0,VLOOKUP($I34,[3]DrawPrep!$C$3:$F$34,2,FALSE),"bye")</f>
        <v>ΡΕΝΤΟΥΜΗ ΜΑΡΙΑ</v>
      </c>
      <c r="K34" s="49" t="str">
        <f t="shared" si="0"/>
        <v>ΡΕΝΤΟΥΜΗ</v>
      </c>
      <c r="L34" s="82" t="str">
        <f>IF($I34&gt;0,VLOOKUP($I34,[3]DrawPrep!$C$3:$F$34,3,FALSE),"")</f>
        <v>ΣΑ ΡΑΦΗΝΑΣ</v>
      </c>
      <c r="M34" s="81"/>
      <c r="N34" s="58"/>
      <c r="O34" s="66"/>
      <c r="P34" s="49" t="str">
        <f>UPPER(IF($A$2="R",IF(OR(O34=1,O34="a"),N33,IF(OR(O34=2,O34="b"),N35,"")),IF(OR(O34=1,O34="a"),N33,IF(OR(O34=2,O34="b"),N35,""))))</f>
        <v/>
      </c>
      <c r="Q34" s="214"/>
      <c r="R34" s="38"/>
      <c r="T34" s="38"/>
    </row>
    <row r="35" spans="1:21" ht="12" customHeight="1" x14ac:dyDescent="0.25">
      <c r="A35" s="283">
        <v>31</v>
      </c>
      <c r="B35" s="284">
        <f>24-D35+8</f>
        <v>21</v>
      </c>
      <c r="C35" s="285">
        <f>B36</f>
        <v>2</v>
      </c>
      <c r="D35" s="286">
        <f t="shared" si="1"/>
        <v>11</v>
      </c>
      <c r="E35" s="286">
        <f>IF($B$2&gt;=C35,1,0)</f>
        <v>1</v>
      </c>
      <c r="F35" s="287" t="str">
        <f>IF(NOT($G35="-"),VLOOKUP($G35,[3]DrawPrep!$A$3:$F$34,2,FALSE),"")</f>
        <v/>
      </c>
      <c r="G35" s="287" t="str">
        <f>IF($B$2&gt;=C35,"-",VLOOKUP($B35,[3]Setup!$K$2:$L$33,2,FALSE))</f>
        <v>-</v>
      </c>
      <c r="H35" s="288">
        <f>IF(NOT($G35="-"),VLOOKUP($G35,[3]DrawPrep!$A$3:$F$34,6,FALSE),0)</f>
        <v>0</v>
      </c>
      <c r="I35" s="104">
        <f>IF([3]Setup!$B$24="#",0,IF(NOT($G35="-"),VLOOKUP($G35,[3]DrawPrep!$A$3:$F$34,3,FALSE),0))</f>
        <v>0</v>
      </c>
      <c r="J35" s="289" t="str">
        <f>IF($I35&gt;0,VLOOKUP($I35,[3]DrawPrep!$C$3:$F$34,2,FALSE),"bye")</f>
        <v>bye</v>
      </c>
      <c r="K35" s="104" t="str">
        <f t="shared" si="0"/>
        <v/>
      </c>
      <c r="L35" s="106" t="str">
        <f>IF($I35&gt;0,VLOOKUP($I35,[3]DrawPrep!$C$3:$F$34,3,FALSE),"")</f>
        <v/>
      </c>
      <c r="M35" s="66">
        <v>2</v>
      </c>
      <c r="N35" s="49" t="str">
        <f>UPPER(IF($A$2="R",IF(OR(M35=1,M35="a"),I35,IF(OR(M35=2,M35="b"),I36,"")),IF(OR(M35=1,M35="a"),K35,IF(OR(M35=2,M35="b"),K36,""))))</f>
        <v>ΚΑΪΡΗ</v>
      </c>
      <c r="O35" s="81"/>
      <c r="P35" s="172"/>
      <c r="Q35" s="37"/>
      <c r="R35" s="38"/>
      <c r="T35" s="38"/>
    </row>
    <row r="36" spans="1:21" ht="12" customHeight="1" x14ac:dyDescent="0.25">
      <c r="A36" s="290">
        <v>32</v>
      </c>
      <c r="B36" s="296">
        <v>2</v>
      </c>
      <c r="C36" s="285"/>
      <c r="D36" s="286">
        <f t="shared" si="1"/>
        <v>11</v>
      </c>
      <c r="E36" s="286">
        <v>0</v>
      </c>
      <c r="F36" s="291">
        <f>IF(NOT($G36="-"),VLOOKUP($G36,[3]DrawPrep!$A$3:$F$34,2,FALSE),"")</f>
        <v>0</v>
      </c>
      <c r="G36" s="294">
        <f>VLOOKUP($B36,[3]Setup!$K$2:$L$33,2,FALSE)</f>
        <v>2</v>
      </c>
      <c r="H36" s="292">
        <f>IF($G36&gt;0,VLOOKUP($G36,[3]DrawPrep!$A$3:$F$34,6,FALSE),0)</f>
        <v>6</v>
      </c>
      <c r="I36" s="123">
        <f>IF([3]Setup!$B$24="#",0,IF($G36&gt;0,VLOOKUP($G36,[3]DrawPrep!$A$3:$F$34,3,FALSE),0))</f>
        <v>21937</v>
      </c>
      <c r="J36" s="295" t="str">
        <f>IF($I36&gt;0,VLOOKUP($I36,[3]DrawPrep!$C$3:$F$34,2,FALSE),"bye")</f>
        <v>ΚΑΪΡΗ ΑΓΓΕΛΙΚΗ</v>
      </c>
      <c r="K36" s="123" t="str">
        <f t="shared" si="0"/>
        <v>ΚΑΪΡΗ</v>
      </c>
      <c r="L36" s="124" t="str">
        <f>IF($I36&gt;0,VLOOKUP($I36,[3]DrawPrep!$C$3:$F$34,3,FALSE),"")</f>
        <v>ΟΑ ΑΘΗΝΩΝ</v>
      </c>
      <c r="M36" s="81"/>
      <c r="N36" s="15"/>
      <c r="P36" s="38"/>
      <c r="R36" s="281"/>
      <c r="T36" s="282"/>
    </row>
    <row r="37" spans="1:21" x14ac:dyDescent="0.25">
      <c r="N37" s="92" t="s">
        <v>10</v>
      </c>
      <c r="P37" s="92" t="s">
        <v>10</v>
      </c>
      <c r="R37" s="92" t="s">
        <v>10</v>
      </c>
      <c r="T37" s="92" t="s">
        <v>10</v>
      </c>
    </row>
    <row r="38" spans="1:21" x14ac:dyDescent="0.25">
      <c r="J38" s="21"/>
      <c r="K38" s="21"/>
      <c r="L38" s="21"/>
      <c r="M38" s="6"/>
    </row>
    <row r="39" spans="1:21" s="93" customFormat="1" ht="9.6" x14ac:dyDescent="0.25">
      <c r="C39" s="94"/>
      <c r="D39" s="95"/>
      <c r="E39" s="95"/>
      <c r="G39" s="94"/>
      <c r="H39" s="94"/>
      <c r="I39" s="95"/>
      <c r="J39" s="96" t="s">
        <v>11</v>
      </c>
      <c r="K39" s="269"/>
      <c r="M39" s="270"/>
      <c r="O39" s="98"/>
      <c r="Q39" s="98"/>
      <c r="R39" s="100"/>
      <c r="S39" s="228"/>
      <c r="T39" s="100"/>
      <c r="U39" s="100"/>
    </row>
    <row r="40" spans="1:21" s="93" customFormat="1" ht="9.6" x14ac:dyDescent="0.25">
      <c r="C40" s="94"/>
      <c r="D40" s="95"/>
      <c r="E40" s="95"/>
      <c r="G40" s="94"/>
      <c r="H40" s="94"/>
      <c r="I40" s="95"/>
      <c r="J40" s="229" t="str">
        <f>"1. " &amp; IF([3]Setup!B19&gt;0,LEFT([3]DrawPrep!D3,FIND(" ",[3]DrawPrep!D3)+1),"")</f>
        <v>1. ΑΝΤΩΝΑΚΗ Ε</v>
      </c>
      <c r="K40" s="100"/>
      <c r="M40" s="271"/>
      <c r="N40" s="271"/>
      <c r="O40" s="98"/>
      <c r="Q40" s="98"/>
      <c r="R40" s="100"/>
      <c r="S40" s="228"/>
      <c r="T40" s="100"/>
      <c r="U40" s="100"/>
    </row>
    <row r="41" spans="1:21" s="93" customFormat="1" ht="9.6" x14ac:dyDescent="0.25">
      <c r="C41" s="94"/>
      <c r="D41" s="95"/>
      <c r="E41" s="95"/>
      <c r="G41" s="94"/>
      <c r="H41" s="94"/>
      <c r="I41" s="95"/>
      <c r="J41" s="229" t="str">
        <f>"2. " &amp; IF([3]Setup!B19&gt;1,LEFT([3]DrawPrep!D4,FIND(" ",[3]DrawPrep!D4)+1),"")</f>
        <v>2. ΚΑΪΡΗ Α</v>
      </c>
      <c r="K41" s="100"/>
      <c r="M41" s="270"/>
      <c r="O41" s="98"/>
      <c r="Q41" s="98"/>
      <c r="R41" s="227" t="s">
        <v>12</v>
      </c>
      <c r="S41" s="228"/>
      <c r="U41" s="100"/>
    </row>
    <row r="42" spans="1:21" s="93" customFormat="1" ht="9.6" x14ac:dyDescent="0.25">
      <c r="C42" s="94"/>
      <c r="D42" s="95"/>
      <c r="E42" s="95"/>
      <c r="G42" s="94"/>
      <c r="H42" s="94"/>
      <c r="I42" s="95"/>
      <c r="J42" s="229" t="str">
        <f>"3. " &amp; IF([3]Setup!B19&gt;2,LEFT([3]DrawPrep!D5,FIND(" ",[3]DrawPrep!D5)+1),"")</f>
        <v>3. ΣΑΚΕΛΛΑΡΙΔΗ Σ</v>
      </c>
      <c r="K42" s="100"/>
      <c r="M42" s="270"/>
      <c r="O42" s="98"/>
      <c r="Q42" s="98"/>
      <c r="R42" s="310" t="str">
        <f>[3]Setup!B10</f>
        <v>Τ.Ταμπόση</v>
      </c>
      <c r="S42" s="310"/>
      <c r="T42" s="310"/>
      <c r="U42" s="100"/>
    </row>
    <row r="43" spans="1:21" s="93" customFormat="1" ht="9.6" x14ac:dyDescent="0.25">
      <c r="C43" s="94"/>
      <c r="D43" s="95"/>
      <c r="E43" s="95"/>
      <c r="G43" s="94"/>
      <c r="H43" s="94"/>
      <c r="I43" s="95"/>
      <c r="J43" s="229" t="str">
        <f>"4. " &amp; IF([3]Setup!B19&gt;3,LEFT([3]DrawPrep!D6,FIND(" ",[3]DrawPrep!D6)+1),"")</f>
        <v>4. ΝΙΚΟΛΟΠΟΥΛΟΥ Ν</v>
      </c>
      <c r="K43" s="100"/>
      <c r="M43" s="270"/>
      <c r="O43" s="98"/>
      <c r="Q43" s="98"/>
      <c r="R43" s="100"/>
      <c r="S43" s="228"/>
      <c r="U43" s="100"/>
    </row>
    <row r="44" spans="1:21" s="93" customFormat="1" ht="9.6" x14ac:dyDescent="0.25">
      <c r="C44" s="94"/>
      <c r="D44" s="95"/>
      <c r="E44" s="95"/>
      <c r="G44" s="94"/>
      <c r="H44" s="94"/>
      <c r="I44" s="95"/>
      <c r="J44" s="229" t="str">
        <f>"5. " &amp; IF([3]Setup!B19&gt;4,LEFT([3]DrawPrep!D7,FIND(" ",[3]DrawPrep!D7)+1),"")</f>
        <v>5. ΒΑΣΙΛΕΙΑΔΗ Μ</v>
      </c>
      <c r="K44" s="100"/>
      <c r="M44" s="270"/>
      <c r="O44" s="98"/>
      <c r="Q44" s="98"/>
      <c r="R44" s="100"/>
      <c r="S44" s="228"/>
      <c r="T44" s="100"/>
      <c r="U44" s="100"/>
    </row>
    <row r="45" spans="1:21" s="93" customFormat="1" ht="9.6" x14ac:dyDescent="0.25">
      <c r="C45" s="94"/>
      <c r="D45" s="95"/>
      <c r="E45" s="95"/>
      <c r="G45" s="94"/>
      <c r="H45" s="94"/>
      <c r="I45" s="95"/>
      <c r="J45" s="229" t="str">
        <f>"6. " &amp; IF([3]Setup!B19&gt;5,LEFT([3]DrawPrep!D8,FIND(" ",[3]DrawPrep!D8)+1),"")</f>
        <v>6. ΡΕΝΤΟΥΜΗ Χ</v>
      </c>
      <c r="K45" s="100"/>
      <c r="L45" s="100"/>
      <c r="M45" s="270"/>
      <c r="O45" s="98"/>
      <c r="Q45" s="98"/>
      <c r="R45" s="100"/>
      <c r="S45" s="228"/>
      <c r="T45" s="100"/>
      <c r="U45" s="100"/>
    </row>
    <row r="46" spans="1:21" s="93" customFormat="1" ht="9.6" x14ac:dyDescent="0.25">
      <c r="C46" s="94"/>
      <c r="D46" s="95"/>
      <c r="E46" s="95"/>
      <c r="G46" s="94"/>
      <c r="H46" s="94"/>
      <c r="I46" s="95"/>
      <c r="J46" s="229" t="str">
        <f>"7. " &amp; IF([3]Setup!B19&gt;6,LEFT([3]DrawPrep!D9,FIND(" ",[3]DrawPrep!D9)+1),"")</f>
        <v>7. ΚΑΠΙΤΣΑΚΗ Ε</v>
      </c>
      <c r="K46" s="100"/>
      <c r="L46" s="100"/>
      <c r="M46" s="270"/>
      <c r="O46" s="98"/>
      <c r="Q46" s="98"/>
      <c r="R46" s="100"/>
      <c r="S46" s="228"/>
      <c r="T46" s="100"/>
      <c r="U46" s="100"/>
    </row>
    <row r="47" spans="1:21" s="93" customFormat="1" ht="9.6" x14ac:dyDescent="0.25">
      <c r="C47" s="94"/>
      <c r="D47" s="95"/>
      <c r="E47" s="95"/>
      <c r="G47" s="94"/>
      <c r="H47" s="94"/>
      <c r="I47" s="95"/>
      <c r="J47" s="229" t="str">
        <f>"8. " &amp; IF([3]Setup!B19&gt;7,LEFT([3]DrawPrep!D10,FIND(" ",[3]DrawPrep!D10)+1),"")</f>
        <v>8. ΤΣΑΔΑΡΗ Ι</v>
      </c>
      <c r="K47" s="100"/>
      <c r="L47" s="100"/>
      <c r="M47" s="270"/>
      <c r="O47" s="98"/>
      <c r="Q47" s="98"/>
      <c r="R47" s="100"/>
      <c r="S47" s="228"/>
      <c r="T47" s="100"/>
      <c r="U47" s="100"/>
    </row>
    <row r="48" spans="1:21" x14ac:dyDescent="0.25">
      <c r="J48" s="21"/>
      <c r="K48" s="21"/>
      <c r="L48" s="21"/>
      <c r="M48" s="6"/>
    </row>
    <row r="49" spans="3:21" x14ac:dyDescent="0.25">
      <c r="C49" s="13"/>
      <c r="D49" s="13"/>
      <c r="E49" s="13"/>
      <c r="G49" s="13"/>
      <c r="H49" s="13"/>
      <c r="I49" s="13"/>
      <c r="J49" s="21"/>
      <c r="K49" s="21"/>
      <c r="L49" s="21"/>
      <c r="M49" s="6"/>
      <c r="O49" s="13"/>
      <c r="Q49" s="13"/>
      <c r="R49" s="13"/>
      <c r="S49" s="13"/>
      <c r="T49" s="13"/>
      <c r="U49" s="13"/>
    </row>
    <row r="50" spans="3:21" x14ac:dyDescent="0.25">
      <c r="C50" s="13"/>
      <c r="D50" s="13"/>
      <c r="E50" s="13"/>
      <c r="G50" s="13"/>
      <c r="H50" s="13"/>
      <c r="I50" s="13"/>
      <c r="J50" s="21"/>
      <c r="K50" s="21"/>
      <c r="L50" s="21"/>
      <c r="M50" s="6"/>
      <c r="O50" s="13"/>
      <c r="Q50" s="13"/>
      <c r="R50" s="13"/>
      <c r="S50" s="13"/>
      <c r="T50" s="13"/>
      <c r="U50" s="13"/>
    </row>
    <row r="59" spans="3:21" x14ac:dyDescent="0.25">
      <c r="C59" s="13"/>
      <c r="D59" s="13"/>
      <c r="E59" s="13"/>
      <c r="G59" s="13"/>
      <c r="H59" s="13"/>
      <c r="I59" s="13"/>
      <c r="J59" s="273" t="s">
        <v>15</v>
      </c>
      <c r="O59" s="13"/>
      <c r="Q59" s="13"/>
      <c r="R59" s="13"/>
      <c r="S59" s="13"/>
      <c r="T59" s="13"/>
      <c r="U59" s="13"/>
    </row>
    <row r="60" spans="3:21" x14ac:dyDescent="0.25">
      <c r="C60" s="13"/>
      <c r="D60" s="13"/>
      <c r="E60" s="13"/>
      <c r="G60" s="13"/>
      <c r="H60" s="13"/>
      <c r="I60" s="13"/>
      <c r="J60" s="274" t="str">
        <f>IF([3]Setup!$B$19&gt;0,LEFT([3]DrawPrep!D3,FIND(" ",[3]DrawPrep!D3)-1))</f>
        <v>ΑΝΤΩΝΑΚΗ</v>
      </c>
      <c r="O60" s="13"/>
      <c r="Q60" s="13"/>
      <c r="R60" s="13"/>
      <c r="S60" s="13"/>
      <c r="T60" s="13"/>
      <c r="U60" s="13"/>
    </row>
    <row r="61" spans="3:21" x14ac:dyDescent="0.25">
      <c r="C61" s="13"/>
      <c r="D61" s="13"/>
      <c r="E61" s="13"/>
      <c r="G61" s="13"/>
      <c r="H61" s="13"/>
      <c r="I61" s="13"/>
      <c r="J61" s="274" t="str">
        <f>IF([3]Setup!$B$19&gt;1,LEFT([3]DrawPrep!D4,FIND(" ",[3]DrawPrep!D4)-1))</f>
        <v>ΚΑΪΡΗ</v>
      </c>
      <c r="O61" s="13"/>
      <c r="Q61" s="13"/>
      <c r="R61" s="13"/>
      <c r="S61" s="13"/>
      <c r="T61" s="13"/>
      <c r="U61" s="13"/>
    </row>
    <row r="62" spans="3:21" x14ac:dyDescent="0.25">
      <c r="C62" s="13"/>
      <c r="D62" s="13"/>
      <c r="E62" s="13"/>
      <c r="G62" s="13"/>
      <c r="H62" s="13"/>
      <c r="I62" s="13"/>
      <c r="J62" s="274" t="str">
        <f>IF([3]Setup!$B$19&gt;2,LEFT([3]DrawPrep!D5,FIND(" ",[3]DrawPrep!D5)-1))</f>
        <v>ΣΑΚΕΛΛΑΡΙΔΗ</v>
      </c>
      <c r="O62" s="13"/>
      <c r="Q62" s="13"/>
      <c r="R62" s="13"/>
      <c r="S62" s="13"/>
      <c r="T62" s="13"/>
      <c r="U62" s="13"/>
    </row>
    <row r="63" spans="3:21" x14ac:dyDescent="0.25">
      <c r="C63" s="13"/>
      <c r="D63" s="13"/>
      <c r="E63" s="13"/>
      <c r="G63" s="13"/>
      <c r="H63" s="13"/>
      <c r="I63" s="13"/>
      <c r="J63" s="274" t="str">
        <f>IF([3]Setup!$B$19&gt;3,LEFT([3]DrawPrep!D6,FIND(" ",[3]DrawPrep!D6)-1))</f>
        <v>ΝΙΚΟΛΟΠΟΥΛΟΥ</v>
      </c>
      <c r="O63" s="13"/>
      <c r="Q63" s="13"/>
      <c r="R63" s="13"/>
      <c r="S63" s="13"/>
      <c r="T63" s="13"/>
      <c r="U63" s="13"/>
    </row>
    <row r="64" spans="3:21" x14ac:dyDescent="0.25">
      <c r="C64" s="13"/>
      <c r="D64" s="13"/>
      <c r="E64" s="13"/>
      <c r="G64" s="13"/>
      <c r="H64" s="13"/>
      <c r="I64" s="13"/>
      <c r="J64" s="274" t="str">
        <f>IF([3]Setup!$B$19&gt;4,LEFT([3]DrawPrep!D7,FIND(" ",[3]DrawPrep!D7)-1))</f>
        <v>ΒΑΣΙΛΕΙΑΔΗ</v>
      </c>
      <c r="O64" s="13"/>
      <c r="Q64" s="13"/>
      <c r="R64" s="13"/>
      <c r="S64" s="13"/>
      <c r="T64" s="13"/>
      <c r="U64" s="13"/>
    </row>
    <row r="65" spans="10:10" s="13" customFormat="1" x14ac:dyDescent="0.25">
      <c r="J65" s="274" t="str">
        <f>IF([3]Setup!$B$19&gt;5,LEFT([3]DrawPrep!D8,FIND(" ",[3]DrawPrep!D8)-1))</f>
        <v>ΡΕΝΤΟΥΜΗ</v>
      </c>
    </row>
    <row r="66" spans="10:10" s="13" customFormat="1" x14ac:dyDescent="0.25">
      <c r="J66" s="274" t="str">
        <f>IF([3]Setup!$B$19&gt;6,LEFT([3]DrawPrep!D9,FIND(" ",[3]DrawPrep!D9)-1))</f>
        <v>ΚΑΠΙΤΣΑΚΗ</v>
      </c>
    </row>
    <row r="67" spans="10:10" s="13" customFormat="1" x14ac:dyDescent="0.25">
      <c r="J67" s="274" t="str">
        <f>IF([3]Setup!$B$19&gt;7,LEFT([3]DrawPrep!D10,FIND(" ",[3]DrawPrep!D10)-1))</f>
        <v>ΤΣΑΔΑΡΗ</v>
      </c>
    </row>
    <row r="68" spans="10:10" s="13" customFormat="1" ht="11.4" x14ac:dyDescent="0.25">
      <c r="J68" s="276"/>
    </row>
    <row r="69" spans="10:10" s="13" customFormat="1" ht="11.4" x14ac:dyDescent="0.25">
      <c r="J69" s="276"/>
    </row>
    <row r="70" spans="10:10" s="13" customFormat="1" ht="11.4" x14ac:dyDescent="0.25">
      <c r="J70" s="276"/>
    </row>
    <row r="71" spans="10:10" s="13" customFormat="1" ht="11.4" x14ac:dyDescent="0.25">
      <c r="J71" s="276"/>
    </row>
    <row r="72" spans="10:10" s="13" customFormat="1" ht="11.4" x14ac:dyDescent="0.25">
      <c r="J72" s="276"/>
    </row>
    <row r="73" spans="10:10" s="13" customFormat="1" ht="11.4" x14ac:dyDescent="0.25">
      <c r="J73" s="276"/>
    </row>
    <row r="74" spans="10:10" s="13" customFormat="1" ht="11.4" x14ac:dyDescent="0.25">
      <c r="J74" s="276"/>
    </row>
    <row r="75" spans="10:10" s="13" customFormat="1" ht="11.4" x14ac:dyDescent="0.25">
      <c r="J75" s="276"/>
    </row>
  </sheetData>
  <sheetProtection formatCells="0" formatColumns="0" formatRows="0"/>
  <protectedRanges>
    <protectedRange sqref="A2 M5 M7 M9 M11 M13 M15 M17 M19 M21 M23 M25 M27 M29 M31 M33 M35 O6 O10 O14 O18 O22 O26 O30 O34 Q8 Q16 Q24 Q32 S12 S28 S20" name="winners"/>
    <protectedRange sqref="N6 N8 N10 N12 N14 N16 N18 N20 N22 N24 N26 N28 N30 N32 N34 N36 P7 P11 P15 P19 P23 P27 P31 P35 R9 R17 R25 R33 T13 T21 T29" name="scores"/>
    <protectedRange sqref="G5:G36" name="seeds"/>
  </protectedRanges>
  <mergeCells count="3">
    <mergeCell ref="A1:R1"/>
    <mergeCell ref="J3:L3"/>
    <mergeCell ref="R42:T42"/>
  </mergeCells>
  <conditionalFormatting sqref="N5 N7 N9 N11 N13 N15 N17 N19 N21 N23 N25 N27 N29 N31 N33 N35 P34 P30 P26 P22 P18 P14 P10 P6 R8 R16 R24 R32 T28 T20 T12">
    <cfRule type="expression" dxfId="1" priority="1">
      <formula>MATCH(N5,$J$60:$J$75,0)</formula>
    </cfRule>
  </conditionalFormatting>
  <printOptions horizontalCentered="1"/>
  <pageMargins left="0.39370078740157483" right="0.39370078740157483" top="0.39370078740157483" bottom="0.39370078740157483"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Button 1">
              <controlPr defaultSize="0" print="0" autoFill="0" autoLine="0" autoPict="0" macro="[3]!Sheet2pdf">
                <anchor moveWithCells="1" sizeWithCells="1">
                  <from>
                    <xdr:col>20</xdr:col>
                    <xdr:colOff>426720</xdr:colOff>
                    <xdr:row>2</xdr:row>
                    <xdr:rowOff>15240</xdr:rowOff>
                  </from>
                  <to>
                    <xdr:col>22</xdr:col>
                    <xdr:colOff>388620</xdr:colOff>
                    <xdr:row>4</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8E2A0-0AF8-4748-A657-04187DFBF37C}">
  <sheetPr codeName="Sheet7">
    <tabColor rgb="FFFFFF00"/>
    <pageSetUpPr fitToPage="1"/>
  </sheetPr>
  <dimension ref="A1:S66"/>
  <sheetViews>
    <sheetView showGridLines="0" showZeros="0" zoomScale="110" workbookViewId="0">
      <pane ySplit="1" topLeftCell="A2" activePane="bottomLeft" state="frozen"/>
      <selection pane="bottomLeft" activeCell="H17" sqref="H17"/>
    </sheetView>
  </sheetViews>
  <sheetFormatPr defaultColWidth="5.109375" defaultRowHeight="10.199999999999999" x14ac:dyDescent="0.25"/>
  <cols>
    <col min="1" max="1" width="2.44140625" style="13" bestFit="1" customWidth="1"/>
    <col min="2" max="2" width="2.33203125" style="13" hidden="1" customWidth="1"/>
    <col min="3" max="3" width="5.88671875" style="14" hidden="1" customWidth="1"/>
    <col min="4" max="4" width="5.33203125" style="15" hidden="1" customWidth="1"/>
    <col min="5" max="5" width="4.5546875" style="15" hidden="1" customWidth="1"/>
    <col min="6" max="6" width="3.44140625" style="14" bestFit="1" customWidth="1"/>
    <col min="7" max="7" width="6.5546875" style="16" customWidth="1"/>
    <col min="8" max="8" width="27.5546875" style="13" customWidth="1"/>
    <col min="9" max="9" width="12.88671875" style="13" hidden="1" customWidth="1"/>
    <col min="10" max="10" width="22.6640625" style="13" bestFit="1" customWidth="1"/>
    <col min="11" max="11" width="1.44140625" style="91" bestFit="1" customWidth="1"/>
    <col min="12" max="12" width="14.109375" style="13" customWidth="1"/>
    <col min="13" max="13" width="1.44140625" style="39" bestFit="1" customWidth="1"/>
    <col min="14" max="14" width="14.109375" style="13" customWidth="1"/>
    <col min="15" max="15" width="1.44140625" style="39" bestFit="1" customWidth="1"/>
    <col min="16" max="16" width="14.109375" style="21" customWidth="1"/>
    <col min="17" max="17" width="1.44140625" style="37" bestFit="1" customWidth="1"/>
    <col min="18" max="18" width="12.88671875" style="21" bestFit="1" customWidth="1"/>
    <col min="19" max="19" width="5.109375" style="21" customWidth="1"/>
    <col min="20" max="16384" width="5.109375" style="13"/>
  </cols>
  <sheetData>
    <row r="1" spans="1:19" s="4" customFormat="1" ht="16.8" x14ac:dyDescent="0.25">
      <c r="A1" s="308" t="str">
        <f>[4]Setup!B3 &amp; ", " &amp; [4]Setup!B4 &amp; ", " &amp; [4]Setup!B6 &amp; ", " &amp; [4]Setup!B8 &amp; "-" &amp; [4]Setup!B9</f>
        <v>Η ΕΝΩΣΗ, ΟΡΕΝ MASTER, ΑΟΑ ΦΙΛΟΘΕΗΣ, 17-22 Οκτ</v>
      </c>
      <c r="B1" s="308"/>
      <c r="C1" s="308"/>
      <c r="D1" s="308"/>
      <c r="E1" s="308"/>
      <c r="F1" s="308"/>
      <c r="G1" s="308"/>
      <c r="H1" s="308"/>
      <c r="I1" s="308"/>
      <c r="J1" s="308"/>
      <c r="K1" s="308"/>
      <c r="L1" s="308"/>
      <c r="M1" s="308"/>
      <c r="N1" s="308"/>
      <c r="O1" s="198"/>
      <c r="P1" s="199" t="str">
        <f>[4]Setup!B7</f>
        <v>md</v>
      </c>
      <c r="Q1" s="200"/>
      <c r="S1" s="3"/>
    </row>
    <row r="2" spans="1:19" s="12" customFormat="1" ht="8.4" x14ac:dyDescent="0.25">
      <c r="A2" s="5"/>
      <c r="B2" s="6">
        <f>[4]Setup!$B$18</f>
        <v>1</v>
      </c>
      <c r="C2" s="6"/>
      <c r="D2" s="7"/>
      <c r="E2" s="7"/>
      <c r="F2" s="8"/>
      <c r="G2" s="8"/>
      <c r="H2" s="9"/>
      <c r="I2" s="9"/>
      <c r="J2" s="9"/>
      <c r="K2" s="6"/>
      <c r="L2" s="9"/>
      <c r="M2" s="7"/>
      <c r="N2" s="9"/>
      <c r="O2" s="7"/>
      <c r="P2" s="10"/>
      <c r="Q2" s="201"/>
      <c r="R2" s="10"/>
      <c r="S2" s="11"/>
    </row>
    <row r="3" spans="1:19" x14ac:dyDescent="0.25">
      <c r="H3" s="309">
        <v>16</v>
      </c>
      <c r="I3" s="309"/>
      <c r="J3" s="309"/>
      <c r="K3" s="17"/>
      <c r="L3" s="18">
        <v>8</v>
      </c>
      <c r="M3" s="19"/>
      <c r="N3" s="18">
        <v>4</v>
      </c>
      <c r="O3" s="19"/>
      <c r="P3" s="20" t="s">
        <v>16</v>
      </c>
      <c r="Q3" s="202"/>
      <c r="R3" s="27"/>
    </row>
    <row r="4" spans="1:19" s="14" customFormat="1" x14ac:dyDescent="0.25">
      <c r="A4" s="22" t="s">
        <v>1</v>
      </c>
      <c r="B4" s="23"/>
      <c r="C4" s="24" t="s">
        <v>2</v>
      </c>
      <c r="D4" s="24" t="s">
        <v>3</v>
      </c>
      <c r="E4" s="24" t="s">
        <v>4</v>
      </c>
      <c r="F4" s="22" t="s">
        <v>5</v>
      </c>
      <c r="G4" s="22" t="s">
        <v>6</v>
      </c>
      <c r="H4" s="25" t="s">
        <v>7</v>
      </c>
      <c r="I4" s="203" t="s">
        <v>8</v>
      </c>
      <c r="J4" s="25" t="s">
        <v>9</v>
      </c>
      <c r="K4" s="6"/>
      <c r="M4" s="26"/>
      <c r="O4" s="26"/>
      <c r="P4" s="27"/>
      <c r="Q4" s="204"/>
      <c r="R4" s="27"/>
      <c r="S4" s="27"/>
    </row>
    <row r="5" spans="1:19" x14ac:dyDescent="0.25">
      <c r="A5" s="312">
        <v>1</v>
      </c>
      <c r="B5" s="205">
        <v>1</v>
      </c>
      <c r="C5" s="29"/>
      <c r="D5" s="30"/>
      <c r="E5" s="31">
        <v>0</v>
      </c>
      <c r="F5" s="314">
        <f>VLOOKUP($B5,[4]Setup!$G$12:$H$27,2,FALSE)</f>
        <v>1</v>
      </c>
      <c r="G5" s="164">
        <f>IF([4]Setup!$B$24="#",0,IF(F5&gt;0,VLOOKUP(F5,[4]DrawPrep!$A$3:$I$18,3,FALSE),0))</f>
        <v>21744</v>
      </c>
      <c r="H5" s="166" t="str">
        <f>IF(G5&gt;0,VLOOKUP(G5,[4]DrawPrep!$C$3:$I$18,2,FALSE),"bye")</f>
        <v>ΚΑΛΟΒΕΛΩΝΗΣ ΜΑΡΚΟΣ</v>
      </c>
      <c r="I5" s="56" t="str">
        <f>IF(G5&gt;0,LEFT(H5,FIND(" ",H5)-1),"")</f>
        <v>ΚΑΛΟΒΕΛΩΝΗΣ</v>
      </c>
      <c r="J5" s="35" t="str">
        <f>IF($G5&gt;0,VLOOKUP($G5,[4]DrawPrep!$C$3:$G$18,3,FALSE),"")</f>
        <v>ΟΑ ΑΘΗΝΩΝ</v>
      </c>
      <c r="K5" s="13"/>
      <c r="L5" s="36" t="str">
        <f>UPPER(IF($A$2="R",IF(OR(K6=1,K6="a"),G5,IF(OR(K6=2,K6="b"),G7,"")),IF(OR(K6=1,K6="1"),I5,IF(OR(K6=2,K6="b"),I7,""))))</f>
        <v>ΚΑΛΟΒΕΛΩΝΗΣ</v>
      </c>
      <c r="M5" s="37"/>
      <c r="N5" s="38"/>
      <c r="P5" s="38"/>
      <c r="R5" s="38"/>
    </row>
    <row r="6" spans="1:19" x14ac:dyDescent="0.25">
      <c r="A6" s="313"/>
      <c r="B6" s="86"/>
      <c r="C6" s="41"/>
      <c r="D6" s="42"/>
      <c r="E6" s="43"/>
      <c r="F6" s="315"/>
      <c r="G6" s="206">
        <f>IF([4]Setup!$B$24="#",0,IF(F5&gt;0,VLOOKUP(F5,[4]DrawPrep!$A$3:$I$18,7,FALSE),0))</f>
        <v>38169</v>
      </c>
      <c r="H6" s="45" t="str">
        <f>IF(G6&gt;0,VLOOKUP(G6,[4]DrawPrep!$G$3:$I$18,2,FALSE)," ")</f>
        <v>ΚΟΥΝΕΛΗΣ ΚΩΝΣΤΑΝΤΙΝΟΣ</v>
      </c>
      <c r="I6" s="46" t="str">
        <f>IF(G6&gt;0,LEFT(H6,FIND(" ",H6)-1),"")</f>
        <v>ΚΟΥΝΕΛΗΣ</v>
      </c>
      <c r="J6" s="207" t="str">
        <f>IF($G6&gt;0,VLOOKUP($G6,[4]DrawPrep!$G$3:$I$18,3,FALSE),"")</f>
        <v>ΠΕΥΚΗ Γ ΚΑΛΟΒΕΛΩΝΗΣ</v>
      </c>
      <c r="K6" s="48">
        <v>1</v>
      </c>
      <c r="L6" s="36" t="str">
        <f>UPPER(IF($A$2="R",IF(OR(K6=1,K6="a"),G6,IF(OR(K6=2,K6="b"),G8,"")),IF(OR(K6=1,K6="1"),I6,IF(OR(K6=2,K6="b"),I8,""))))</f>
        <v>ΚΟΥΝΕΛΗΣ</v>
      </c>
      <c r="M6" s="37"/>
      <c r="N6" s="38"/>
      <c r="P6" s="38"/>
      <c r="R6" s="38"/>
    </row>
    <row r="7" spans="1:19" x14ac:dyDescent="0.25">
      <c r="A7" s="312">
        <v>2</v>
      </c>
      <c r="B7" s="50">
        <f>1-D7+4</f>
        <v>4</v>
      </c>
      <c r="C7" s="53">
        <v>1</v>
      </c>
      <c r="D7" s="208">
        <f>E7</f>
        <v>1</v>
      </c>
      <c r="E7" s="209">
        <f>IF($B$2&gt;=C7,1,0)</f>
        <v>1</v>
      </c>
      <c r="F7" s="316" t="str">
        <f>IF($B$2&gt;=C7,"-",VLOOKUP($B7,[4]Setup!$G$12:$H$27,2,FALSE))</f>
        <v>-</v>
      </c>
      <c r="G7" s="163">
        <f>IF([4]Setup!$B$24="#",0,IF(NOT(F7="-"),VLOOKUP(F7,[4]DrawPrep!$A$3:$I$18,3,FALSE),0))</f>
        <v>0</v>
      </c>
      <c r="H7" s="55" t="str">
        <f>IF(G7&gt;0,VLOOKUP(G7,[4]DrawPrep!$C$3:$G$18,2,FALSE),"bye")</f>
        <v>bye</v>
      </c>
      <c r="I7" s="56" t="str">
        <f t="shared" ref="I7:I36" si="0">IF(G7&gt;0,LEFT(H7,FIND(" ",H7)-1),"")</f>
        <v/>
      </c>
      <c r="J7" s="57" t="str">
        <f>IF($G7&gt;0,VLOOKUP($G7,[4]DrawPrep!$C$3:$G$18,3,FALSE),"")</f>
        <v/>
      </c>
      <c r="K7" s="6"/>
      <c r="L7" s="58"/>
      <c r="M7" s="13"/>
      <c r="N7" s="36" t="str">
        <f>UPPER(IF($A$2="R",IF(OR(M8=1,M8="a"),L5,IF(OR(M8=2,M7="b"),L9,"")),IF(OR(M8=1,M8="a"),L5,IF(OR(M8=2,M8="b"),L9,""))))</f>
        <v/>
      </c>
      <c r="O7" s="37"/>
      <c r="P7" s="38"/>
      <c r="R7" s="38"/>
    </row>
    <row r="8" spans="1:19" x14ac:dyDescent="0.25">
      <c r="A8" s="313"/>
      <c r="B8" s="59"/>
      <c r="C8" s="62"/>
      <c r="D8" s="210"/>
      <c r="E8" s="211"/>
      <c r="F8" s="317"/>
      <c r="G8" s="168">
        <f>IF([4]Setup!$B$24="#",0,IF(NOT(F7="-"),VLOOKUP(F7,[4]DrawPrep!$A$3:$I$18,7,FALSE),0))</f>
        <v>0</v>
      </c>
      <c r="H8" s="49" t="str">
        <f>IF(G8&gt;0,VLOOKUP(G8,[4]DrawPrep!$G$3:$I$18,2,FALSE)," ")</f>
        <v xml:space="preserve"> </v>
      </c>
      <c r="I8" s="46" t="str">
        <f t="shared" si="0"/>
        <v/>
      </c>
      <c r="J8" s="82" t="str">
        <f>IF($G8&gt;0,VLOOKUP($G8,[4]DrawPrep!$G$3:$I$18,3,FALSE),"")</f>
        <v/>
      </c>
      <c r="K8" s="6"/>
      <c r="L8" s="65"/>
      <c r="M8" s="66"/>
      <c r="N8" s="36" t="str">
        <f>UPPER(IF($A$2="R",IF(OR(M8=1,M8="a"),L6,IF(OR(M8=2,M8="b"),L10,"")),IF(OR(M8=1,M8="a"),L6,IF(OR(M8=2,M8="b"),L10,""))))</f>
        <v/>
      </c>
      <c r="O8" s="37"/>
      <c r="P8" s="38"/>
      <c r="R8" s="38"/>
    </row>
    <row r="9" spans="1:19" x14ac:dyDescent="0.25">
      <c r="A9" s="318">
        <v>3</v>
      </c>
      <c r="B9" s="50">
        <f>2-D9+4</f>
        <v>5</v>
      </c>
      <c r="C9" s="78"/>
      <c r="D9" s="208">
        <f>D7+E9</f>
        <v>1</v>
      </c>
      <c r="E9" s="83">
        <v>0</v>
      </c>
      <c r="F9" s="320">
        <v>8</v>
      </c>
      <c r="G9" s="212">
        <f>IF([4]Setup!$B$24="#",0,IF(F9&gt;0,VLOOKUP(F9,[4]DrawPrep!$A$3:$I$18,3,FALSE),0))</f>
        <v>7243</v>
      </c>
      <c r="H9" s="68" t="str">
        <f>IF(G9&gt;0,VLOOKUP(G9,[4]DrawPrep!$C$3:$G$18,2,FALSE),"bye")</f>
        <v>ΠΑΠΑΧΡΙΣΤΟΠΟΥΛΟΣ ΦΙΛΙΠΠΑΣ</v>
      </c>
      <c r="I9" s="69" t="str">
        <f t="shared" si="0"/>
        <v>ΠΑΠΑΧΡΙΣΤΟΠΟΥΛΟΣ</v>
      </c>
      <c r="J9" s="70" t="str">
        <f>IF($G9&gt;0,VLOOKUP($G9,[4]DrawPrep!$C$3:$G$18,3,FALSE),"")</f>
        <v>ΑΟΑ ΦΙΛΟΘΕΗΣ</v>
      </c>
      <c r="K9" s="13"/>
      <c r="L9" s="36" t="str">
        <f>UPPER(IF($A$2="R",IF(OR(K10=1,K10="a"),G9,IF(OR(K10=2,K10="b"),G11,"")),IF(OR(K10=1,K10="1"),I9,IF(OR(K10=2,K10="b"),I11,""))))</f>
        <v/>
      </c>
      <c r="M9" s="71"/>
      <c r="N9" s="58"/>
      <c r="O9" s="37"/>
      <c r="P9" s="38"/>
      <c r="R9" s="38"/>
    </row>
    <row r="10" spans="1:19" x14ac:dyDescent="0.25">
      <c r="A10" s="319"/>
      <c r="B10" s="59"/>
      <c r="C10" s="80"/>
      <c r="D10" s="210"/>
      <c r="E10" s="87"/>
      <c r="F10" s="321"/>
      <c r="G10" s="213">
        <f>IF([4]Setup!$B$24="#",0,IF(F9&gt;0,VLOOKUP(F9,[4]DrawPrep!$A$3:$I$18,7,FALSE),0))</f>
        <v>16350</v>
      </c>
      <c r="H10" s="74" t="str">
        <f>IF(G10&gt;0,VLOOKUP(G10,[4]DrawPrep!$G$3:$I$18,2,FALSE)," ")</f>
        <v>ΝΤΙΡΖΟΥ ΑΝΤΡΕΪ</v>
      </c>
      <c r="I10" s="75" t="str">
        <f t="shared" si="0"/>
        <v>ΝΤΙΡΖΟΥ</v>
      </c>
      <c r="J10" s="76" t="str">
        <f>IF($G10&gt;0,VLOOKUP($G10,[4]DrawPrep!$G$3:$I$18,3,FALSE),"")</f>
        <v>ΣΦΑ ΜΕΛΙΣΣΙΩΝ Ο ΦΟΙΒΟΣ</v>
      </c>
      <c r="K10" s="48"/>
      <c r="L10" s="36" t="str">
        <f>UPPER(IF($A$2="R",IF(OR(K10=1,K10="a"),G10,IF(OR(K10=2,K10="b"),G12,"")),IF(OR(K10=1,K10="1"),I10,IF(OR(K10=2,K10="b"),I12,""))))</f>
        <v/>
      </c>
      <c r="M10" s="71"/>
      <c r="N10" s="65"/>
      <c r="O10" s="37"/>
      <c r="P10" s="38"/>
      <c r="R10" s="38"/>
    </row>
    <row r="11" spans="1:19" x14ac:dyDescent="0.25">
      <c r="A11" s="318">
        <v>4</v>
      </c>
      <c r="B11" s="50">
        <f>3-D11+4</f>
        <v>6</v>
      </c>
      <c r="C11" s="53">
        <v>7</v>
      </c>
      <c r="D11" s="208">
        <f>D9+E11</f>
        <v>1</v>
      </c>
      <c r="E11" s="209">
        <f>IF($B$2&gt;=C11,1,0)</f>
        <v>0</v>
      </c>
      <c r="F11" s="320">
        <f>IF($B$2&gt;=C11,"-",VLOOKUP($B11,[4]Setup!$G$12:$H$27,2,FALSE))</f>
        <v>9</v>
      </c>
      <c r="G11" s="212">
        <f>IF([4]Setup!$B$24="#",0,IF(NOT(F11="-"),VLOOKUP(F11,[4]DrawPrep!$A$3:$I$18,3,FALSE),0))</f>
        <v>15180</v>
      </c>
      <c r="H11" s="68" t="str">
        <f>IF(G11&gt;0,VLOOKUP(G11,[4]DrawPrep!$C$3:$G$18,2,FALSE),"bye")</f>
        <v>ΚΑΡΑΓΙΑΝΝΙΔΗΣ ΘΕΟΧΑΡΗΣ</v>
      </c>
      <c r="I11" s="69" t="str">
        <f t="shared" si="0"/>
        <v>ΚΑΡΑΓΙΑΝΝΙΔΗΣ</v>
      </c>
      <c r="J11" s="70" t="str">
        <f>IF($G11&gt;0,VLOOKUP($G11,[4]DrawPrep!$C$3:$G$18,3,FALSE),"")</f>
        <v>ΑΟΑ ΑΤΤΙΚΟΣ ΗΛΙΟΣ</v>
      </c>
      <c r="K11" s="6"/>
      <c r="L11" s="172"/>
      <c r="M11" s="37"/>
      <c r="N11" s="65"/>
      <c r="O11" s="13"/>
      <c r="P11" s="36" t="str">
        <f>UPPER(IF($A$2="R",IF(OR(O12=1,O12="a"),N7,IF(OR(O12=2,O12="b"),N15,"")),IF(OR(O12=1,O12="a"),N7,IF(OR(O12=2,O12="b"),N15,""))))</f>
        <v/>
      </c>
      <c r="R11" s="38"/>
    </row>
    <row r="12" spans="1:19" x14ac:dyDescent="0.25">
      <c r="A12" s="319"/>
      <c r="B12" s="59"/>
      <c r="C12" s="62"/>
      <c r="D12" s="210"/>
      <c r="E12" s="211"/>
      <c r="F12" s="321"/>
      <c r="G12" s="213">
        <f>IF([4]Setup!$B$24="#",0,IF(NOT(F11="-"),VLOOKUP(F11,[4]DrawPrep!$A$3:$I$18,7,FALSE),0))</f>
        <v>10614</v>
      </c>
      <c r="H12" s="74" t="str">
        <f>IF(G12&gt;0,VLOOKUP(G12,[4]DrawPrep!$G$3:$I$18,2,FALSE)," ")</f>
        <v>ΚΟΡΜΑΛΗΣ ΙΩΑΝΝΗΣ</v>
      </c>
      <c r="I12" s="75" t="str">
        <f t="shared" si="0"/>
        <v>ΚΟΡΜΑΛΗΣ</v>
      </c>
      <c r="J12" s="76" t="str">
        <f>IF($G12&gt;0,VLOOKUP($G12,[4]DrawPrep!$G$3:$I$18,3,FALSE),"")</f>
        <v>ΓΟ ΠΕΡΙΣΤΕΡΙΟΥ ΠΑΛΑΣΚΑΣ</v>
      </c>
      <c r="K12" s="6"/>
      <c r="L12" s="15"/>
      <c r="M12" s="37"/>
      <c r="N12" s="65"/>
      <c r="O12" s="48"/>
      <c r="P12" s="36" t="str">
        <f>UPPER(IF($A$2="R",IF(OR(O12=1,O12="a"),N8,IF(OR(O12=2,O12="b"),N16,"")),IF(OR(O12=1,O12="a"),N8,IF(OR(O12=2,O12="b"),N16,""))))</f>
        <v/>
      </c>
      <c r="R12" s="38"/>
    </row>
    <row r="13" spans="1:19" x14ac:dyDescent="0.25">
      <c r="A13" s="312">
        <v>5</v>
      </c>
      <c r="B13" s="50">
        <f>4-D13+4</f>
        <v>7</v>
      </c>
      <c r="C13" s="78"/>
      <c r="D13" s="208">
        <f>D11+E13</f>
        <v>1</v>
      </c>
      <c r="E13" s="83">
        <v>0</v>
      </c>
      <c r="F13" s="316">
        <v>5</v>
      </c>
      <c r="G13" s="163">
        <f>IF([4]Setup!$B$24="#",0,IF(F13&gt;0,VLOOKUP(F13,[4]DrawPrep!$A$3:$I$18,3,FALSE),0))</f>
        <v>13330</v>
      </c>
      <c r="H13" s="55" t="str">
        <f>IF(G13&gt;0,VLOOKUP(G13,[4]DrawPrep!$C$3:$G$18,2,FALSE),"bye")</f>
        <v>ΠΕΡΔΙΚΟΓΙΑΝΝΗΣ ΣΤΥΛΙΑΝΟΣ</v>
      </c>
      <c r="I13" s="56" t="str">
        <f t="shared" si="0"/>
        <v>ΠΕΡΔΙΚΟΓΙΑΝΝΗΣ</v>
      </c>
      <c r="J13" s="57" t="str">
        <f>IF($G13&gt;0,VLOOKUP($G13,[4]DrawPrep!$C$3:$G$18,3,FALSE),"")</f>
        <v>ΗΡΑΚΛΕΙΟ ΟΑΑ</v>
      </c>
      <c r="K13" s="13"/>
      <c r="L13" s="36" t="str">
        <f>UPPER(IF($A$2="R",IF(OR(K14=1,K14="a"),G13,IF(OR(K14=2,K14="b"),G15,"")),IF(OR(K14=1,K14="1"),I13,IF(OR(K14=2,K14="b"),I15,""))))</f>
        <v/>
      </c>
      <c r="M13" s="37"/>
      <c r="N13" s="65"/>
      <c r="O13" s="6"/>
      <c r="P13" s="58"/>
      <c r="R13" s="38"/>
    </row>
    <row r="14" spans="1:19" x14ac:dyDescent="0.25">
      <c r="A14" s="313"/>
      <c r="B14" s="59"/>
      <c r="C14" s="80"/>
      <c r="D14" s="210"/>
      <c r="E14" s="87"/>
      <c r="F14" s="317"/>
      <c r="G14" s="168">
        <f>IF([4]Setup!$B$24="#",0,IF(F13&gt;0,VLOOKUP(F13,[4]DrawPrep!$A$3:$I$18,7,FALSE),0))</f>
        <v>15522</v>
      </c>
      <c r="H14" s="49" t="str">
        <f>IF(G14&gt;0,VLOOKUP(G14,[4]DrawPrep!$G$3:$I$18,2,FALSE)," ")</f>
        <v>ΓΙΑΝΝΑΚΑΚΗΣ ΗΛΙΑΣ</v>
      </c>
      <c r="I14" s="46" t="str">
        <f t="shared" si="0"/>
        <v>ΓΙΑΝΝΑΚΑΚΗΣ</v>
      </c>
      <c r="J14" s="82" t="str">
        <f>IF($G14&gt;0,VLOOKUP($G14,[4]DrawPrep!$G$3:$I$18,3,FALSE),"")</f>
        <v>ΟΑ ΑΘΗΝΩΝ</v>
      </c>
      <c r="K14" s="5"/>
      <c r="L14" s="36" t="str">
        <f>UPPER(IF($A$2="R",IF(OR(K14=1,K14="a"),G14,IF(OR(K14=2,K14="b"),G16,"")),IF(OR(K14=1,K14="1"),I14,IF(OR(K14=2,K14="b"),I16,""))))</f>
        <v/>
      </c>
      <c r="M14" s="37"/>
      <c r="N14" s="65"/>
      <c r="O14" s="37"/>
      <c r="P14" s="65"/>
      <c r="R14" s="38"/>
    </row>
    <row r="15" spans="1:19" x14ac:dyDescent="0.25">
      <c r="A15" s="312">
        <v>6</v>
      </c>
      <c r="B15" s="50">
        <f>5-D15+4</f>
        <v>8</v>
      </c>
      <c r="C15" s="53">
        <v>5</v>
      </c>
      <c r="D15" s="208">
        <f>D13+E15</f>
        <v>1</v>
      </c>
      <c r="E15" s="209">
        <f>IF($B$2&gt;=C15,1,0)</f>
        <v>0</v>
      </c>
      <c r="F15" s="316">
        <f>IF($B$2&gt;=C15,"-",VLOOKUP($B15,[4]Setup!$G$12:$H$27,2,FALSE))</f>
        <v>6</v>
      </c>
      <c r="G15" s="163">
        <f>IF([4]Setup!$B$24="#",0,IF(NOT(F15="-"),VLOOKUP(F15,[4]DrawPrep!$A$3:$I$18,3,FALSE),0))</f>
        <v>32761</v>
      </c>
      <c r="H15" s="55" t="str">
        <f>IF(G15&gt;0,VLOOKUP(G15,[4]DrawPrep!$C$3:$G$18,2,FALSE),"bye")</f>
        <v>ΜΙΝΤΑΣ ΝΙΚΟΛΑΟΣ</v>
      </c>
      <c r="I15" s="56" t="str">
        <f t="shared" si="0"/>
        <v>ΜΙΝΤΑΣ</v>
      </c>
      <c r="J15" s="57" t="str">
        <f>IF($G15&gt;0,VLOOKUP($G15,[4]DrawPrep!$C$3:$G$18,3,FALSE),"")</f>
        <v>ΠΕΥΚΗ Γ ΚΑΛΟΒΕΛΩΝΗΣ</v>
      </c>
      <c r="K15" s="81"/>
      <c r="L15" s="58"/>
      <c r="M15" s="13"/>
      <c r="N15" s="36" t="str">
        <f>UPPER(IF($A$2="R",IF(OR(M16=1,M16="a"),L13,IF(OR(M16=2,M15="b"),L17,"")),IF(OR(M16=1,M16="a"),L13,IF(OR(M16=2,M16="b"),L17,""))))</f>
        <v/>
      </c>
      <c r="O15" s="214"/>
      <c r="P15" s="65"/>
      <c r="R15" s="38"/>
    </row>
    <row r="16" spans="1:19" x14ac:dyDescent="0.25">
      <c r="A16" s="313"/>
      <c r="B16" s="59"/>
      <c r="C16" s="62"/>
      <c r="D16" s="210"/>
      <c r="E16" s="211"/>
      <c r="F16" s="317"/>
      <c r="G16" s="168">
        <f>IF([4]Setup!$B$24="#",0,IF(NOT(F15="-"),VLOOKUP(F15,[4]DrawPrep!$A$3:$I$18,7,FALSE),0))</f>
        <v>29586</v>
      </c>
      <c r="H16" s="49" t="str">
        <f>IF(G16&gt;0,VLOOKUP(G16,[4]DrawPrep!$G$3:$I$18,2,FALSE)," ")</f>
        <v>ΣΙΟΥΛΗΣ ΒΑΣΙΛΗΣ</v>
      </c>
      <c r="I16" s="46" t="str">
        <f t="shared" si="0"/>
        <v>ΣΙΟΥΛΗΣ</v>
      </c>
      <c r="J16" s="82" t="str">
        <f>IF($G16&gt;0,VLOOKUP($G16,[4]DrawPrep!$G$3:$I$18,3,FALSE),"")</f>
        <v>ΑΟ ΜΕΓΑΣ ΑΛΕΞΑΝΔΡΟΣ</v>
      </c>
      <c r="K16" s="6"/>
      <c r="L16" s="65"/>
      <c r="M16" s="48"/>
      <c r="N16" s="36" t="str">
        <f>UPPER(IF($A$2="R",IF(OR(M16=1,M16="a"),L14,IF(OR(M16=2,M16="b"),L18,"")),IF(OR(M16=1,M16="a"),L14,IF(OR(M16=2,M16="b"),L18,""))))</f>
        <v/>
      </c>
      <c r="O16" s="214"/>
      <c r="P16" s="65"/>
      <c r="R16" s="38"/>
    </row>
    <row r="17" spans="1:18" x14ac:dyDescent="0.25">
      <c r="A17" s="318">
        <v>7</v>
      </c>
      <c r="B17" s="50">
        <f>6-D17+4</f>
        <v>9</v>
      </c>
      <c r="C17" s="28">
        <f>VALUE([4]Setup!E2)</f>
        <v>4</v>
      </c>
      <c r="D17" s="208">
        <f>D15+E17</f>
        <v>1</v>
      </c>
      <c r="E17" s="209">
        <f>IF($B$2&gt;=C17,1,0)</f>
        <v>0</v>
      </c>
      <c r="F17" s="320">
        <f>IF($B$2&gt;=C17,"-",VLOOKUP($B17,[4]Setup!$G$12:$H$27,2,FALSE))</f>
        <v>11</v>
      </c>
      <c r="G17" s="212">
        <f>IF([4]Setup!$B$24="#",0,IF(NOT(F17="-"),VLOOKUP(F17,[4]DrawPrep!$A$3:$I$18,3,FALSE),0))</f>
        <v>32605</v>
      </c>
      <c r="H17" s="68" t="str">
        <f>IF(G17&gt;0,VLOOKUP(G17,[4]DrawPrep!$C$3:$G$18,2,FALSE),"bye")</f>
        <v>ΚΥΠΡΙΩΤΗΣ ΕΥΑΓΓΕΛΟΣ</v>
      </c>
      <c r="I17" s="69" t="str">
        <f t="shared" si="0"/>
        <v>ΚΥΠΡΙΩΤΗΣ</v>
      </c>
      <c r="J17" s="70" t="str">
        <f>IF($G17&gt;0,VLOOKUP($G17,[4]DrawPrep!$C$3:$G$18,3,FALSE),"")</f>
        <v>ΟΑ ΑΘΗΝΩΝ</v>
      </c>
      <c r="K17" s="13"/>
      <c r="L17" s="36" t="str">
        <f>UPPER(IF($A$2="R",IF(OR(K18=1,K18="a"),G17,IF(OR(K18=2,K18="b"),G19,"")),IF(OR(K18=1,K18="1"),I17,IF(OR(K18=2,K18="b"),I19,""))))</f>
        <v/>
      </c>
      <c r="M17" s="71"/>
      <c r="N17" s="172"/>
      <c r="O17" s="37"/>
      <c r="P17" s="65"/>
      <c r="R17" s="38"/>
    </row>
    <row r="18" spans="1:18" x14ac:dyDescent="0.25">
      <c r="A18" s="319"/>
      <c r="B18" s="59"/>
      <c r="C18" s="60"/>
      <c r="D18" s="210"/>
      <c r="E18" s="211"/>
      <c r="F18" s="321"/>
      <c r="G18" s="213">
        <f>IF(NOT(F17="-"),VLOOKUP(F17,[4]DrawPrep!$A$3:$I$18,7,FALSE),0)</f>
        <v>31285</v>
      </c>
      <c r="H18" s="74" t="str">
        <f>IF(G18&gt;0,VLOOKUP(G18,[4]DrawPrep!$G$3:$I$18,2,FALSE)," ")</f>
        <v>ΚΩΣΤΟΥΡΟΣ ΔΗΜΗΤΡΙΟΣ</v>
      </c>
      <c r="I18" s="75" t="str">
        <f t="shared" si="0"/>
        <v>ΚΩΣΤΟΥΡΟΣ</v>
      </c>
      <c r="J18" s="76" t="str">
        <f>IF($G18&gt;0,VLOOKUP($G18,[4]DrawPrep!$G$3:$I$18,3,FALSE),"")</f>
        <v>ΠΕΥΚΗ Γ ΚΑΛΟΒΕΛΩΝΗΣ</v>
      </c>
      <c r="K18" s="48"/>
      <c r="L18" s="82" t="str">
        <f>UPPER(IF($A$2="R",IF(OR(K18=1,K18="a"),G18,IF(OR(K18=2,K18="b"),G20,"")),IF(OR(K18=1,K18="1"),I18,IF(OR(K18=2,K18="b"),I20,""))))</f>
        <v/>
      </c>
      <c r="M18" s="6"/>
      <c r="N18" s="38"/>
      <c r="O18" s="37"/>
      <c r="P18" s="65"/>
      <c r="R18" s="38"/>
    </row>
    <row r="19" spans="1:18" x14ac:dyDescent="0.25">
      <c r="A19" s="318">
        <v>8</v>
      </c>
      <c r="B19" s="28">
        <f>VALUE([4]Setup!E2)</f>
        <v>4</v>
      </c>
      <c r="C19" s="78"/>
      <c r="D19" s="208">
        <f>D17+E19</f>
        <v>1</v>
      </c>
      <c r="E19" s="83">
        <v>0</v>
      </c>
      <c r="F19" s="322">
        <f>VLOOKUP($B19,[4]Setup!$G$12:$H$27,2,FALSE)</f>
        <v>4</v>
      </c>
      <c r="G19" s="215">
        <f>IF([4]Setup!$B$24="#",0,IF(F19&gt;0,VLOOKUP(F19,[4]DrawPrep!$A$3:$I$18,3,FALSE),0))</f>
        <v>18875</v>
      </c>
      <c r="H19" s="84" t="str">
        <f>IF(G19&gt;0,VLOOKUP(G19,[4]DrawPrep!$C$3:$G$18,2,FALSE),"bye")</f>
        <v>ΔΗΜΑΣ ΑΛΕΞΙΟΣ</v>
      </c>
      <c r="I19" s="69" t="str">
        <f t="shared" si="0"/>
        <v>ΔΗΜΑΣ</v>
      </c>
      <c r="J19" s="85" t="str">
        <f>IF($G19&gt;0,VLOOKUP($G19,[4]DrawPrep!$C$3:$G$18,3,FALSE),"")</f>
        <v>ΑΟΑ ΦΙΛΟΘΕΗΣ</v>
      </c>
      <c r="K19" s="6"/>
      <c r="L19" s="38"/>
      <c r="N19" s="38"/>
      <c r="O19" s="6"/>
      <c r="P19" s="216" t="str">
        <f>UPPER(IF($A$2="R",IF(OR(O20=1,O20="a"),P11,IF(OR(O20=2,O20="b"),P27,"")),IF(OR(O20=1,O20="a"),P11,IF(OR(O20=2,O20="b"),P27,""))))</f>
        <v/>
      </c>
    </row>
    <row r="20" spans="1:18" x14ac:dyDescent="0.25">
      <c r="A20" s="319"/>
      <c r="B20" s="40"/>
      <c r="C20" s="80"/>
      <c r="D20" s="210"/>
      <c r="E20" s="87"/>
      <c r="F20" s="323"/>
      <c r="G20" s="217">
        <f>IF([4]Setup!$B$24="#",0,IF(F19&gt;0,VLOOKUP(F19,[4]DrawPrep!$A$3:$I$18,7,FALSE),0))</f>
        <v>17656</v>
      </c>
      <c r="H20" s="88" t="str">
        <f>IF(G20&gt;0,VLOOKUP(G20,[4]DrawPrep!$G$3:$I$18,2,FALSE)," ")</f>
        <v>ΑΝΔΡΟΥΤΣΕΛΗΣ ΙΩΑΝΝΗΣ</v>
      </c>
      <c r="I20" s="75" t="str">
        <f t="shared" si="0"/>
        <v>ΑΝΔΡΟΥΤΣΕΛΗΣ</v>
      </c>
      <c r="J20" s="89" t="str">
        <f>IF($G20&gt;0,VLOOKUP($G20,[4]DrawPrep!$G$3:$I$18,3,FALSE),"")</f>
        <v>ΑΟΑ ΠΑΤΡΩΝ</v>
      </c>
      <c r="K20" s="6"/>
      <c r="L20" s="38"/>
      <c r="N20" s="38"/>
      <c r="O20" s="48"/>
      <c r="P20" s="216" t="str">
        <f>UPPER(IF($A$2="R",IF(OR(O20=1,O20="a"),P12,IF(OR(O20=2,O20="b"),P28,"")),IF(OR(O20=1,O20="a"),P12,IF(OR(O20=2,O20="b"),P28,""))))</f>
        <v/>
      </c>
    </row>
    <row r="21" spans="1:18" x14ac:dyDescent="0.25">
      <c r="A21" s="312">
        <v>9</v>
      </c>
      <c r="B21" s="28">
        <f>VALUE([4]Setup!E3)</f>
        <v>3</v>
      </c>
      <c r="C21" s="78"/>
      <c r="D21" s="208">
        <f>D19+E21</f>
        <v>1</v>
      </c>
      <c r="E21" s="83">
        <v>0</v>
      </c>
      <c r="F21" s="314">
        <f>VLOOKUP($B21,[4]Setup!$G$12:$H$27,2,FALSE)</f>
        <v>3</v>
      </c>
      <c r="G21" s="164">
        <f>IF([4]Setup!$B$24="#",0,IF(F21&gt;0,VLOOKUP(F21,[4]DrawPrep!$A$3:$I$18,3,FALSE),0))</f>
        <v>37315</v>
      </c>
      <c r="H21" s="166" t="str">
        <f>IF(G21&gt;0,VLOOKUP(G21,[4]DrawPrep!$C$3:$G$18,2,FALSE),"bye")</f>
        <v>ΜΑΝΩΛΑΣ ΝΙΚΟΛΑΟΣ</v>
      </c>
      <c r="I21" s="56" t="str">
        <f t="shared" si="0"/>
        <v>ΜΑΝΩΛΑΣ</v>
      </c>
      <c r="J21" s="35" t="str">
        <f>IF($G21&gt;0,VLOOKUP($G21,[4]DrawPrep!$C$3:$G$18,3,FALSE),"")</f>
        <v>ΑΟ ΠΕΥΚΗΣ TIE BREAK</v>
      </c>
      <c r="K21" s="13"/>
      <c r="L21" s="36" t="str">
        <f>UPPER(IF($A$2="R",IF(OR(K22=1,K22="a"),G21,IF(OR(K22=2,K22="b"),G23,"")),IF(OR(K22=1,K22="1"),I21,IF(OR(K22=2,K22="b"),I23,""))))</f>
        <v/>
      </c>
      <c r="M21" s="37"/>
      <c r="N21" s="38"/>
      <c r="O21" s="37"/>
      <c r="P21" s="218"/>
    </row>
    <row r="22" spans="1:18" x14ac:dyDescent="0.25">
      <c r="A22" s="313"/>
      <c r="B22" s="40"/>
      <c r="C22" s="80"/>
      <c r="D22" s="210"/>
      <c r="E22" s="87"/>
      <c r="F22" s="315"/>
      <c r="G22" s="206">
        <f>IF([4]Setup!$B$24="#",0,IF(F21&gt;0,VLOOKUP(F21,[4]DrawPrep!$A$3:$I$18,7,FALSE),0))</f>
        <v>10888</v>
      </c>
      <c r="H22" s="45" t="str">
        <f>IF(G22&gt;0,VLOOKUP(G22,[4]DrawPrep!$G$3:$I$18,2,FALSE)," ")</f>
        <v>ΜΟΥΡΑΤΟΓΛΟΥ ΑΡΙΣΤΟΤΕΛΗΣ</v>
      </c>
      <c r="I22" s="46" t="str">
        <f t="shared" si="0"/>
        <v>ΜΟΥΡΑΤΟΓΛΟΥ</v>
      </c>
      <c r="J22" s="207" t="str">
        <f>IF($G22&gt;0,VLOOKUP($G22,[4]DrawPrep!$G$3:$I$18,3,FALSE),"")</f>
        <v>ΑΟΑ ΦΙΛΟΘΕΗΣ</v>
      </c>
      <c r="K22" s="48"/>
      <c r="L22" s="36" t="str">
        <f>UPPER(IF($A$2="R",IF(OR(K22=1,K22="a"),G22,IF(OR(K22=2,K22="b"),G24,"")),IF(OR(K22=1,K22="1"),I22,IF(OR(K22=2,K22="b"),I24,""))))</f>
        <v/>
      </c>
      <c r="M22" s="37"/>
      <c r="N22" s="38"/>
      <c r="P22" s="65"/>
      <c r="R22" s="38"/>
    </row>
    <row r="23" spans="1:18" x14ac:dyDescent="0.25">
      <c r="A23" s="312">
        <v>10</v>
      </c>
      <c r="B23" s="50">
        <f>7-D23+4</f>
        <v>10</v>
      </c>
      <c r="C23" s="28">
        <f>VALUE([4]Setup!E3)</f>
        <v>3</v>
      </c>
      <c r="D23" s="208">
        <f>D21+E23</f>
        <v>1</v>
      </c>
      <c r="E23" s="209">
        <f>IF($B$2&gt;=C23,1,0)</f>
        <v>0</v>
      </c>
      <c r="F23" s="316">
        <f>IF($B$2&gt;=C23,"-",VLOOKUP($B23,[4]Setup!$G$12:$H$27,2,FALSE))</f>
        <v>13</v>
      </c>
      <c r="G23" s="163">
        <f>IF([4]Setup!$B$24="#",0,IF(NOT(F23="-"),VLOOKUP(F23,[4]DrawPrep!$A$3:$I$18,3,FALSE),0))</f>
        <v>4133</v>
      </c>
      <c r="H23" s="55" t="str">
        <f>IF(G23&gt;0,VLOOKUP(G23,[4]DrawPrep!$C$3:$G$18,2,FALSE),"bye")</f>
        <v>ΛΙΟΛΗΣ ΓΕΩΡΓΙΟΣ</v>
      </c>
      <c r="I23" s="56" t="str">
        <f t="shared" si="0"/>
        <v>ΛΙΟΛΗΣ</v>
      </c>
      <c r="J23" s="57" t="str">
        <f>IF($G23&gt;0,VLOOKUP($G23,[4]DrawPrep!$C$3:$G$18,3,FALSE),"")</f>
        <v>ΑΟΑ ΑΡΓΥΡΟΥΠΟΛΗΣ</v>
      </c>
      <c r="K23" s="6"/>
      <c r="L23" s="58"/>
      <c r="M23" s="13"/>
      <c r="N23" s="36" t="str">
        <f>UPPER(IF($A$2="R",IF(OR(M24=1,M24="a"),L21,IF(OR(M24=2,M23="b"),L25,"")),IF(OR(M24=1,M24="a"),L21,IF(OR(M24=2,M24="b"),L25,""))))</f>
        <v/>
      </c>
      <c r="O23" s="37"/>
      <c r="P23" s="65"/>
      <c r="R23" s="38"/>
    </row>
    <row r="24" spans="1:18" x14ac:dyDescent="0.25">
      <c r="A24" s="313"/>
      <c r="B24" s="59"/>
      <c r="C24" s="60"/>
      <c r="D24" s="210"/>
      <c r="E24" s="211"/>
      <c r="F24" s="317"/>
      <c r="G24" s="168">
        <f>IF([4]Setup!$B$24="#",0,IF(NOT(F23="-"),VLOOKUP(F23,[4]DrawPrep!$A$3:$I$18,7,FALSE),0))</f>
        <v>4132</v>
      </c>
      <c r="H24" s="49" t="str">
        <f>IF(G24&gt;0,VLOOKUP(G24,[4]DrawPrep!$G$3:$I$18,2,FALSE)," ")</f>
        <v>ΛΙΟΛΗΣ ΣΤΕΦΑΝΟΣ</v>
      </c>
      <c r="I24" s="46" t="str">
        <f t="shared" si="0"/>
        <v>ΛΙΟΛΗΣ</v>
      </c>
      <c r="J24" s="82" t="str">
        <f>IF($G24&gt;0,VLOOKUP($G24,[4]DrawPrep!$G$3:$I$18,3,FALSE),"")</f>
        <v>ΑΟΑ ΑΡΓΥΡΟΥΠΟΛΗΣ</v>
      </c>
      <c r="K24" s="6"/>
      <c r="L24" s="65"/>
      <c r="M24" s="66"/>
      <c r="N24" s="36" t="str">
        <f>UPPER(IF($A$2="R",IF(OR(M24=1,M24="a"),L22,IF(OR(M24=2,M24="b"),L26,"")),IF(OR(M24=1,M24="a"),L22,IF(OR(M24=2,M24="b"),L26,""))))</f>
        <v/>
      </c>
      <c r="O24" s="37"/>
      <c r="P24" s="65"/>
      <c r="R24" s="38"/>
    </row>
    <row r="25" spans="1:18" x14ac:dyDescent="0.25">
      <c r="A25" s="318">
        <v>11</v>
      </c>
      <c r="B25" s="50">
        <f>8-D25+4</f>
        <v>11</v>
      </c>
      <c r="C25" s="78"/>
      <c r="D25" s="208">
        <f>D23+E25</f>
        <v>1</v>
      </c>
      <c r="E25" s="83">
        <v>0</v>
      </c>
      <c r="F25" s="320">
        <f>VLOOKUP($B25,[4]Setup!$G$12:$H$27,2,FALSE)</f>
        <v>7</v>
      </c>
      <c r="G25" s="212">
        <f>IF([4]Setup!$B$24="#",0,IF(F25&gt;0,VLOOKUP(F25,[4]DrawPrep!$A$3:$I$18,3,FALSE),0))</f>
        <v>10445</v>
      </c>
      <c r="H25" s="68" t="str">
        <f>IF(G25&gt;0,VLOOKUP(G25,[4]DrawPrep!$C$3:$G$18,2,FALSE),"bye")</f>
        <v>ΜΑΡΚΑΚΗΣ ΜΙΧΑΗΛ</v>
      </c>
      <c r="I25" s="69" t="str">
        <f t="shared" si="0"/>
        <v>ΜΑΡΚΑΚΗΣ</v>
      </c>
      <c r="J25" s="70" t="str">
        <f>IF($G25&gt;0,VLOOKUP($G25,[4]DrawPrep!$C$3:$G$18,3,FALSE),"")</f>
        <v>ΗΡΑΚΛΕΙΟ ΟΑΑ</v>
      </c>
      <c r="K25" s="13"/>
      <c r="L25" s="36" t="str">
        <f>UPPER(IF($A$2="R",IF(OR(K26=1,K26="a"),G25,IF(OR(K26=2,K26="b"),G27,"")),IF(OR(K26=1,K26="1"),I25,IF(OR(K26=2,K26="b"),I27,""))))</f>
        <v/>
      </c>
      <c r="M25" s="71"/>
      <c r="N25" s="58"/>
      <c r="O25" s="37"/>
      <c r="P25" s="65"/>
      <c r="R25" s="38"/>
    </row>
    <row r="26" spans="1:18" x14ac:dyDescent="0.25">
      <c r="A26" s="319"/>
      <c r="B26" s="59"/>
      <c r="C26" s="80"/>
      <c r="D26" s="210"/>
      <c r="E26" s="87"/>
      <c r="F26" s="321"/>
      <c r="G26" s="213">
        <f>IF([4]Setup!$B$24="#",0,IF(F25&gt;0,VLOOKUP(F25,[4]DrawPrep!$A$3:$I$18,7,FALSE),0))</f>
        <v>27383</v>
      </c>
      <c r="H26" s="74" t="str">
        <f>IF(G26&gt;0,VLOOKUP(G26,[4]DrawPrep!$G$3:$I$18,2,FALSE)," ")</f>
        <v>ΧΑΤΖΗΣ ΣΤΕΦΑΝΟΣ-ΡΑΦΑΗΛ</v>
      </c>
      <c r="I26" s="75" t="str">
        <f t="shared" si="0"/>
        <v>ΧΑΤΖΗΣ</v>
      </c>
      <c r="J26" s="76" t="str">
        <f>IF($G26&gt;0,VLOOKUP($G26,[4]DrawPrep!$G$3:$I$18,3,FALSE),"")</f>
        <v>ΑΕ ΠΟΡΤΟ ΡΑΦΤΗ</v>
      </c>
      <c r="K26" s="48"/>
      <c r="L26" s="82" t="str">
        <f>UPPER(IF($A$2="R",IF(OR(K26=1,K26="a"),G26,IF(OR(K26=2,K26="b"),G28,"")),IF(OR(K26=1,K26="1"),I26,IF(OR(K26=2,K26="b"),I28,""))))</f>
        <v/>
      </c>
      <c r="M26" s="71"/>
      <c r="N26" s="65"/>
      <c r="O26" s="37"/>
      <c r="P26" s="65"/>
      <c r="R26" s="38"/>
    </row>
    <row r="27" spans="1:18" x14ac:dyDescent="0.25">
      <c r="A27" s="318">
        <v>12</v>
      </c>
      <c r="B27" s="50">
        <f>9-D27+4</f>
        <v>12</v>
      </c>
      <c r="C27" s="53">
        <v>6</v>
      </c>
      <c r="D27" s="208">
        <f>D25+E27</f>
        <v>1</v>
      </c>
      <c r="E27" s="209">
        <f>IF($B$2&gt;=C27,1,0)</f>
        <v>0</v>
      </c>
      <c r="F27" s="320">
        <f>IF($B$2&gt;=C27,"-",VLOOKUP($B27,[4]Setup!$G$12:$H$27,2,FALSE))</f>
        <v>14</v>
      </c>
      <c r="G27" s="212">
        <f>IF([4]Setup!$B$24="#",0,IF(NOT(F27="-"),VLOOKUP(F27,[4]DrawPrep!$A$3:$I$18,3,FALSE),0))</f>
        <v>10902</v>
      </c>
      <c r="H27" s="68" t="str">
        <f>IF(G27&gt;0,VLOOKUP(G27,[4]DrawPrep!$C$3:$G$18,2,FALSE),"bye")</f>
        <v>ΧΑΜΑΜΗΣ ΝΙΚΟΛΑΟΣ</v>
      </c>
      <c r="I27" s="69" t="str">
        <f t="shared" si="0"/>
        <v>ΧΑΜΑΜΗΣ</v>
      </c>
      <c r="J27" s="70" t="str">
        <f>IF($G27&gt;0,VLOOKUP($G27,[4]DrawPrep!$C$3:$G$18,3,FALSE),"")</f>
        <v>ΑΟ ΑΤΛΑΝΤΙΣ</v>
      </c>
      <c r="K27" s="6"/>
      <c r="L27" s="38"/>
      <c r="M27" s="37"/>
      <c r="N27" s="65"/>
      <c r="O27" s="13"/>
      <c r="P27" s="64" t="str">
        <f>UPPER(IF($A$2="R",IF(OR(O28=1,O28="a"),N23,IF(OR(O28=2,O28="b"),N31,"")),IF(OR(O28=1,O28="a"),N23,IF(OR(O28=2,O28="b"),N31,""))))</f>
        <v/>
      </c>
      <c r="R27" s="38"/>
    </row>
    <row r="28" spans="1:18" x14ac:dyDescent="0.25">
      <c r="A28" s="319"/>
      <c r="B28" s="59"/>
      <c r="C28" s="62"/>
      <c r="D28" s="210"/>
      <c r="E28" s="211"/>
      <c r="F28" s="321"/>
      <c r="G28" s="213">
        <f>IF([4]Setup!$B$24="#",0,IF(NOT(F27="-"),VLOOKUP(F27,[4]DrawPrep!$A$3:$I$18,7,FALSE),0))</f>
        <v>13568</v>
      </c>
      <c r="H28" s="74" t="str">
        <f>IF(G28&gt;0,VLOOKUP(G28,[4]DrawPrep!$G$3:$I$18,2,FALSE)," ")</f>
        <v>ΧΑΜΑΜΗΣ ΓΕΩΡΓΙΟΣ</v>
      </c>
      <c r="I28" s="75" t="str">
        <f t="shared" si="0"/>
        <v>ΧΑΜΑΜΗΣ</v>
      </c>
      <c r="J28" s="76" t="str">
        <f>IF($G28&gt;0,VLOOKUP($G28,[4]DrawPrep!$G$3:$I$18,3,FALSE),"")</f>
        <v>ΑΚΑ ΜΑΡΑΘΩΝΑ</v>
      </c>
      <c r="K28" s="6"/>
      <c r="L28" s="15"/>
      <c r="M28" s="37"/>
      <c r="N28" s="65"/>
      <c r="O28" s="48"/>
      <c r="P28" s="82" t="str">
        <f>UPPER(IF($A$2="R",IF(OR(O28=1,O28="a"),N24,IF(OR(O28=2,O28="b"),N32,"")),IF(OR(O28=1,O28="a"),N24,IF(OR(O28=2,O28="b"),N32,""))))</f>
        <v/>
      </c>
      <c r="R28" s="38"/>
    </row>
    <row r="29" spans="1:18" x14ac:dyDescent="0.25">
      <c r="A29" s="312">
        <v>13</v>
      </c>
      <c r="B29" s="50">
        <f>10-D29+4</f>
        <v>13</v>
      </c>
      <c r="C29" s="78"/>
      <c r="D29" s="208">
        <f>D27+E29</f>
        <v>1</v>
      </c>
      <c r="E29" s="83">
        <v>0</v>
      </c>
      <c r="F29" s="316">
        <f>VLOOKUP($B29,[4]Setup!$G$12:$H$27,2,FALSE)</f>
        <v>15</v>
      </c>
      <c r="G29" s="163">
        <f>IF([4]Setup!$B$24="#",0,IF(F29&gt;0,VLOOKUP(F29,[4]DrawPrep!$A$3:$I$18,3,FALSE),0))</f>
        <v>13047</v>
      </c>
      <c r="H29" s="55" t="str">
        <f>IF(G29&gt;0,VLOOKUP(G29,[4]DrawPrep!$C$3:$G$18,2,FALSE),"bye")</f>
        <v>ΤΣΙΑΝΟΣ ΚΩΝΣΤΑΝΤΙΝΟΣ</v>
      </c>
      <c r="I29" s="56" t="str">
        <f t="shared" si="0"/>
        <v>ΤΣΙΑΝΟΣ</v>
      </c>
      <c r="J29" s="57" t="str">
        <f>IF($G29&gt;0,VLOOKUP($G29,[4]DrawPrep!$C$3:$G$18,3,FALSE),"")</f>
        <v>ΑΟΑ ΠΑΠΑΓΟΥ</v>
      </c>
      <c r="K29" s="13"/>
      <c r="L29" s="36" t="str">
        <f>UPPER(IF($A$2="R",IF(OR(K30=1,K30="a"),G29,IF(OR(K30=2,K30="b"),G31,"")),IF(OR(K30=1,K30="1"),I29,IF(OR(K30=2,K30="b"),I31,""))))</f>
        <v/>
      </c>
      <c r="M29" s="37"/>
      <c r="N29" s="65"/>
      <c r="O29" s="6"/>
      <c r="P29" s="172"/>
      <c r="R29" s="38"/>
    </row>
    <row r="30" spans="1:18" x14ac:dyDescent="0.25">
      <c r="A30" s="313"/>
      <c r="B30" s="59"/>
      <c r="C30" s="80"/>
      <c r="D30" s="210"/>
      <c r="E30" s="87"/>
      <c r="F30" s="317"/>
      <c r="G30" s="168">
        <f>IF([4]Setup!$B$24="#",0,IF(F29&gt;0,VLOOKUP(F29,[4]DrawPrep!$A$3:$I$18,7,FALSE),0))</f>
        <v>17503</v>
      </c>
      <c r="H30" s="49" t="str">
        <f>IF(G30&gt;0,VLOOKUP(G30,[4]DrawPrep!$G$3:$I$18,2,FALSE)," ")</f>
        <v>ΦΩΚΑΣ ΓΕΩΡΓΙΟΣ</v>
      </c>
      <c r="I30" s="46" t="str">
        <f t="shared" si="0"/>
        <v>ΦΩΚΑΣ</v>
      </c>
      <c r="J30" s="82" t="str">
        <f>IF($G30&gt;0,VLOOKUP($G30,[4]DrawPrep!$G$3:$I$18,3,FALSE),"")</f>
        <v>ΟΑ ΠΕΤΡΟΥΠΟΛΗΣ</v>
      </c>
      <c r="K30" s="5"/>
      <c r="L30" s="36" t="str">
        <f>UPPER(IF($A$2="R",IF(OR(K30=1,K30="a"),G30,IF(OR(K30=2,K30="b"),G32,"")),IF(OR(K30=1,K30="1"),I30,IF(OR(K30=2,K30="b"),I32,""))))</f>
        <v/>
      </c>
      <c r="M30" s="37"/>
      <c r="N30" s="65"/>
      <c r="O30" s="37"/>
      <c r="P30" s="38"/>
      <c r="R30" s="38"/>
    </row>
    <row r="31" spans="1:18" x14ac:dyDescent="0.25">
      <c r="A31" s="312">
        <v>14</v>
      </c>
      <c r="B31" s="50">
        <f>11-D31+4</f>
        <v>14</v>
      </c>
      <c r="C31" s="53">
        <v>8</v>
      </c>
      <c r="D31" s="208">
        <f>D29+E31</f>
        <v>1</v>
      </c>
      <c r="E31" s="209">
        <f>IF($B$2&gt;=C31,1,0)</f>
        <v>0</v>
      </c>
      <c r="F31" s="316">
        <f>IF($B$2&gt;=C31,"-",VLOOKUP($B31,[4]Setup!$G$12:$H$27,2,FALSE))</f>
        <v>12</v>
      </c>
      <c r="G31" s="163">
        <f>IF([4]Setup!$B$24="#",0,IF(NOT(F31="-"),VLOOKUP(F31,[4]DrawPrep!$A$3:$I$18,3,FALSE),0))</f>
        <v>27690</v>
      </c>
      <c r="H31" s="55" t="str">
        <f>IF(G31&gt;0,VLOOKUP(G31,[4]DrawPrep!$C$3:$G$18,2,FALSE),"bye")</f>
        <v>ΣΠΥΡΟΠΟΥΛΟΣ ΑΘΑΝΑΣΙΟΣ</v>
      </c>
      <c r="I31" s="56" t="str">
        <f t="shared" si="0"/>
        <v>ΣΠΥΡΟΠΟΥΛΟΣ</v>
      </c>
      <c r="J31" s="57" t="str">
        <f>IF($G31&gt;0,VLOOKUP($G31,[4]DrawPrep!$C$3:$G$18,3,FALSE),"")</f>
        <v>ΑΟΑ ΦΙΛΟΘΕΗΣ</v>
      </c>
      <c r="K31" s="81"/>
      <c r="L31" s="58"/>
      <c r="M31" s="13"/>
      <c r="N31" s="64" t="str">
        <f>UPPER(IF($A$2="R",IF(OR(M32=1,M32="a"),L29,IF(OR(M32=2,M31="b"),L33,"")),IF(OR(M32=1,M32="a"),L29,IF(OR(M32=2,M32="b"),L33,""))))</f>
        <v/>
      </c>
      <c r="O31" s="37"/>
      <c r="P31" s="38"/>
      <c r="R31" s="38"/>
    </row>
    <row r="32" spans="1:18" x14ac:dyDescent="0.25">
      <c r="A32" s="313"/>
      <c r="B32" s="59"/>
      <c r="C32" s="62"/>
      <c r="D32" s="210"/>
      <c r="E32" s="211"/>
      <c r="F32" s="317"/>
      <c r="G32" s="168">
        <f>IF([4]Setup!$B$24="#",0,IF(NOT(F31="-"),VLOOKUP(F31,[4]DrawPrep!$A$3:$I$18,7,FALSE),0))</f>
        <v>30989</v>
      </c>
      <c r="H32" s="49" t="str">
        <f>IF(G32&gt;0,VLOOKUP(G32,[4]DrawPrep!$G$3:$I$18,2,FALSE)," ")</f>
        <v>ΓΚΙΘΚΟΠΟΥΛΟΣ ΑΡΙΣΤΟΤΕΛΗΣ</v>
      </c>
      <c r="I32" s="46" t="str">
        <f t="shared" si="0"/>
        <v>ΓΚΙΘΚΟΠΟΥΛΟΣ</v>
      </c>
      <c r="J32" s="82" t="str">
        <f>IF($G32&gt;0,VLOOKUP($G32,[4]DrawPrep!$G$3:$I$18,3,FALSE),"")</f>
        <v>ΑΟ ΠΕΥΚΗΣ TIE BREAK</v>
      </c>
      <c r="K32" s="6"/>
      <c r="L32" s="65"/>
      <c r="M32" s="48"/>
      <c r="N32" s="82" t="str">
        <f>UPPER(IF($A$2="R",IF(OR(M32=1,M32="a"),L30,IF(OR(M32=2,M32="b"),L34,"")),IF(OR(M32=1,M32="a"),L30,IF(OR(M32=2,M32="b"),L34,""))))</f>
        <v/>
      </c>
      <c r="O32" s="37"/>
      <c r="P32" s="38"/>
      <c r="R32" s="38"/>
    </row>
    <row r="33" spans="1:18" x14ac:dyDescent="0.25">
      <c r="A33" s="318">
        <v>15</v>
      </c>
      <c r="B33" s="50">
        <f>12-D33+4</f>
        <v>15</v>
      </c>
      <c r="C33" s="53">
        <v>2</v>
      </c>
      <c r="D33" s="208">
        <f>D31+E33</f>
        <v>1</v>
      </c>
      <c r="E33" s="209">
        <f>IF($B$2&gt;=C33,1,0)</f>
        <v>0</v>
      </c>
      <c r="F33" s="320">
        <f>IF($B$2&gt;=C33,"-",VLOOKUP($B33,[4]Setup!$G$12:$H$27,2,FALSE))</f>
        <v>10</v>
      </c>
      <c r="G33" s="212">
        <f>IF([4]Setup!$B$24="#",0,IF(NOT(F33="-"),VLOOKUP(F33,[4]DrawPrep!$A$3:$I$18,3,FALSE),0))</f>
        <v>15739</v>
      </c>
      <c r="H33" s="68" t="str">
        <f>IF(G33&gt;0,VLOOKUP(G33,[4]DrawPrep!$C$3:$G$18,2,FALSE),"bye")</f>
        <v>ΚΑΚΡΙΔΩΝΗΣ ΦΩΤΙΟΣ</v>
      </c>
      <c r="I33" s="69" t="str">
        <f t="shared" si="0"/>
        <v>ΚΑΚΡΙΔΩΝΗΣ</v>
      </c>
      <c r="J33" s="70" t="str">
        <f>IF($G33&gt;0,VLOOKUP($G33,[4]DrawPrep!$C$3:$G$18,3,FALSE),"")</f>
        <v>ΗΡΑΚΛΕΙΟ ΟΑΑ</v>
      </c>
      <c r="K33" s="13"/>
      <c r="L33" s="36" t="str">
        <f>UPPER(IF($A$2="R",IF(OR(K34=1,K34="a"),G33,IF(OR(K34=2,K34="b"),G35,"")),IF(OR(K34=1,K34="1"),I33,IF(OR(K34=2,K34="b"),I35,""))))</f>
        <v/>
      </c>
      <c r="M33" s="71"/>
      <c r="N33" s="38"/>
      <c r="O33" s="37"/>
      <c r="P33" s="38"/>
      <c r="R33" s="38"/>
    </row>
    <row r="34" spans="1:18" x14ac:dyDescent="0.25">
      <c r="A34" s="319"/>
      <c r="B34" s="59"/>
      <c r="C34" s="62"/>
      <c r="D34" s="210"/>
      <c r="E34" s="211"/>
      <c r="F34" s="321"/>
      <c r="G34" s="213">
        <f>IF([4]Setup!$B$24="#",0,IF(NOT(F33="-"),VLOOKUP(F33,[4]DrawPrep!$A$3:$I$18,7,FALSE),0))</f>
        <v>32212</v>
      </c>
      <c r="H34" s="74" t="str">
        <f>IF(G34&gt;0,VLOOKUP(G34,[4]DrawPrep!$G$3:$I$18,2,FALSE)," ")</f>
        <v>ΡΑΠΤΗΣ ΚΩΝΣΤΑΝΤΙΝΟΣ</v>
      </c>
      <c r="I34" s="75" t="str">
        <f t="shared" si="0"/>
        <v>ΡΑΠΤΗΣ</v>
      </c>
      <c r="J34" s="76" t="str">
        <f>IF($G34&gt;0,VLOOKUP($G34,[4]DrawPrep!$G$3:$I$18,3,FALSE),"")</f>
        <v>ΣΑ ΡΑΦΗΝΑΣ</v>
      </c>
      <c r="K34" s="48"/>
      <c r="L34" s="36" t="str">
        <f>UPPER(IF($A$2="R",IF(OR(K34=1,K34="a"),G34,IF(OR(K34=2,K34="b"),G36,"")),IF(OR(K34=1,K34="1"),I34,IF(OR(K34=2,K34="b"),I36,""))))</f>
        <v/>
      </c>
      <c r="M34" s="71"/>
      <c r="N34" s="38"/>
      <c r="O34" s="37"/>
      <c r="P34" s="38"/>
      <c r="R34" s="38"/>
    </row>
    <row r="35" spans="1:18" x14ac:dyDescent="0.25">
      <c r="A35" s="318">
        <v>16</v>
      </c>
      <c r="B35" s="205">
        <v>2</v>
      </c>
      <c r="C35" s="78"/>
      <c r="D35" s="208">
        <f>D33+E35</f>
        <v>1</v>
      </c>
      <c r="E35" s="83">
        <v>0</v>
      </c>
      <c r="F35" s="322">
        <f>VLOOKUP($B35,[4]Setup!$G$12:$H$27,2,FALSE)</f>
        <v>2</v>
      </c>
      <c r="G35" s="215">
        <f>IF([4]Setup!$B$24="#",0,IF(F35&gt;0,VLOOKUP(F35,[4]DrawPrep!$A$3:$I$18,3,FALSE),0))</f>
        <v>16369</v>
      </c>
      <c r="H35" s="84" t="str">
        <f>IF(G35&gt;0,VLOOKUP(G35,[4]DrawPrep!$C$3:$G$18,2,FALSE),"bye")</f>
        <v>ΜΠΙΣΜΠΙΚΟΣ ΠΙΕΡ</v>
      </c>
      <c r="I35" s="69" t="str">
        <f t="shared" si="0"/>
        <v>ΜΠΙΣΜΠΙΚΟΣ</v>
      </c>
      <c r="J35" s="85" t="str">
        <f>IF($G35&gt;0,VLOOKUP($G35,[4]DrawPrep!$C$3:$G$18,3,FALSE),"")</f>
        <v>ΟΑ ΑΓ ΠΑΡΑΣΚΕΥΗΣ</v>
      </c>
      <c r="K35" s="6"/>
      <c r="L35" s="172"/>
      <c r="N35" s="38"/>
      <c r="P35" s="38"/>
      <c r="Q35" s="6"/>
      <c r="R35" s="219"/>
    </row>
    <row r="36" spans="1:18" x14ac:dyDescent="0.25">
      <c r="A36" s="319"/>
      <c r="B36" s="220"/>
      <c r="C36" s="221"/>
      <c r="D36" s="222"/>
      <c r="E36" s="223"/>
      <c r="F36" s="323"/>
      <c r="G36" s="217">
        <f>IF([4]Setup!$B$24="#",0,IF(F35&gt;0,VLOOKUP(F35,[4]DrawPrep!$A$3:$I$18,7,FALSE),0))</f>
        <v>19851</v>
      </c>
      <c r="H36" s="224" t="str">
        <f>IF(G36&gt;0,VLOOKUP(G36,[4]DrawPrep!$G$3:$I$18,2,FALSE)," ")</f>
        <v>ΜΠΙΣΜΠΙΚΟΣ ΝΙΚΟΛΑΣ</v>
      </c>
      <c r="I36" s="225" t="str">
        <f t="shared" si="0"/>
        <v>ΜΠΙΣΜΠΙΚΟΣ</v>
      </c>
      <c r="J36" s="226" t="str">
        <f>IF($G36&gt;0,VLOOKUP($G36,[4]DrawPrep!$G$3:$I$18,3,FALSE),"")</f>
        <v>ΟΑ ΑΓ ΠΑΡΑΣΚΕΥΗΣ</v>
      </c>
      <c r="K36" s="6"/>
      <c r="L36" s="38"/>
      <c r="N36" s="38"/>
      <c r="P36" s="38"/>
      <c r="R36" s="92" t="s">
        <v>10</v>
      </c>
    </row>
    <row r="39" spans="1:18" x14ac:dyDescent="0.25">
      <c r="H39" s="96" t="s">
        <v>11</v>
      </c>
      <c r="I39" s="93"/>
      <c r="J39" s="93"/>
      <c r="P39" s="227" t="s">
        <v>12</v>
      </c>
      <c r="Q39" s="228"/>
      <c r="R39" s="93"/>
    </row>
    <row r="40" spans="1:18" x14ac:dyDescent="0.25">
      <c r="H40" s="324" t="str">
        <f>"1. " &amp; IF([4]Setup!$B$19&gt;0,LEFT([4]DrawPrep!$D$3,FIND(" ",[4]DrawPrep!$D$3)+1)&amp;" - "&amp;LEFT([4]DrawPrep!$H$3,FIND(" ",[4]DrawPrep!$H$3)+1),"")</f>
        <v>1. ΚΑΛΟΒΕΛΩΝΗΣ Μ - ΚΟΥΝΕΛΗΣ Κ</v>
      </c>
      <c r="I40" s="324"/>
      <c r="J40" s="324"/>
      <c r="P40" s="310" t="str">
        <f>[4]Setup!B10</f>
        <v>Τ.Ταμπόση</v>
      </c>
      <c r="Q40" s="310"/>
      <c r="R40" s="310"/>
    </row>
    <row r="41" spans="1:18" x14ac:dyDescent="0.25">
      <c r="H41" s="324" t="str">
        <f>"2. " &amp; IF([4]Setup!$B$19&gt;1,LEFT([4]DrawPrep!$D$4,FIND(" ",[4]DrawPrep!$D$4)+1)&amp;" - "&amp;LEFT([4]DrawPrep!$H$4,FIND(" ",[4]DrawPrep!$H$4)+1),"")</f>
        <v>2. ΜΠΙΣΜΠΙΚΟΣ Π - ΜΠΙΣΜΠΙΚΟΣ Ν</v>
      </c>
      <c r="I41" s="324"/>
      <c r="J41" s="324"/>
    </row>
    <row r="42" spans="1:18" x14ac:dyDescent="0.25">
      <c r="H42" s="324" t="str">
        <f>"3. " &amp; IF([4]Setup!$B$19&gt;2,LEFT([4]DrawPrep!$D$5,FIND(" ",[4]DrawPrep!$D$5)+1)&amp;" - "&amp;LEFT([4]DrawPrep!$H$5,FIND(" ",[4]DrawPrep!$H$5)+1),"")</f>
        <v>3. ΜΑΝΩΛΑΣ Ν - ΜΟΥΡΑΤΟΓΛΟΥ Α</v>
      </c>
      <c r="I42" s="324"/>
      <c r="J42" s="324"/>
    </row>
    <row r="43" spans="1:18" x14ac:dyDescent="0.25">
      <c r="H43" s="324" t="str">
        <f>"4. " &amp; IF([4]Setup!$B$19&gt;3,LEFT([4]DrawPrep!$D$6,FIND(" ",[4]DrawPrep!$D$6)+1)&amp;" - "&amp;LEFT([4]DrawPrep!$H$6,FIND(" ",[4]DrawPrep!$H$6)+1),"")</f>
        <v>4. ΔΗΜΑΣ Α - ΑΝΔΡΟΥΤΣΕΛΗΣ Ι</v>
      </c>
      <c r="I43" s="324"/>
      <c r="J43" s="324"/>
    </row>
    <row r="58" spans="8:10" x14ac:dyDescent="0.25">
      <c r="H58" s="96" t="s">
        <v>15</v>
      </c>
      <c r="I58" s="93"/>
      <c r="J58" s="93"/>
    </row>
    <row r="59" spans="8:10" x14ac:dyDescent="0.25">
      <c r="H59" s="229" t="str">
        <f>IF([4]Setup!$B$19&gt;0,LEFT([4]DrawPrep!$D$3,FIND(" ",[4]DrawPrep!$D$3)-1))</f>
        <v>ΚΑΛΟΒΕΛΩΝΗΣ</v>
      </c>
      <c r="I59" s="229"/>
      <c r="J59" s="229"/>
    </row>
    <row r="60" spans="8:10" x14ac:dyDescent="0.25">
      <c r="H60" s="229" t="str">
        <f>IF([4]Setup!$B$19&gt;0,LEFT([4]DrawPrep!$H$3,FIND(" ",[4]DrawPrep!$H$3)-1),"")</f>
        <v>ΚΟΥΝΕΛΗΣ</v>
      </c>
      <c r="I60" s="229"/>
      <c r="J60" s="229"/>
    </row>
    <row r="61" spans="8:10" x14ac:dyDescent="0.25">
      <c r="H61" s="229" t="str">
        <f>IF([4]Setup!$B$19&gt;0,LEFT([4]DrawPrep!$D$4,FIND(" ",[4]DrawPrep!$D$4)-1))</f>
        <v>ΜΠΙΣΜΠΙΚΟΣ</v>
      </c>
      <c r="I61" s="229"/>
      <c r="J61" s="229"/>
    </row>
    <row r="62" spans="8:10" x14ac:dyDescent="0.25">
      <c r="H62" s="229" t="str">
        <f>IF([4]Setup!$B$19&gt;0,LEFT([4]DrawPrep!$H$4,FIND(" ",[4]DrawPrep!$H$4)-1),"")</f>
        <v>ΜΠΙΣΜΠΙΚΟΣ</v>
      </c>
      <c r="I62" s="229"/>
      <c r="J62" s="229"/>
    </row>
    <row r="63" spans="8:10" x14ac:dyDescent="0.25">
      <c r="H63" s="229" t="str">
        <f>IF([4]Setup!$B$19&gt;0,LEFT([4]DrawPrep!$D$5,FIND(" ",[4]DrawPrep!$D$5)-1))</f>
        <v>ΜΑΝΩΛΑΣ</v>
      </c>
      <c r="I63" s="229"/>
      <c r="J63" s="229"/>
    </row>
    <row r="64" spans="8:10" x14ac:dyDescent="0.25">
      <c r="H64" s="229" t="str">
        <f>IF([4]Setup!$B$19&gt;0,LEFT([4]DrawPrep!$H$5,FIND(" ",[4]DrawPrep!$H$5)-1),"")</f>
        <v>ΜΟΥΡΑΤΟΓΛΟΥ</v>
      </c>
      <c r="I64" s="229"/>
      <c r="J64" s="229"/>
    </row>
    <row r="65" spans="8:10" x14ac:dyDescent="0.25">
      <c r="H65" s="229" t="str">
        <f>IF([4]Setup!$B$19&gt;0,LEFT([4]DrawPrep!$D$6,FIND(" ",[4]DrawPrep!$D$6)-1))</f>
        <v>ΔΗΜΑΣ</v>
      </c>
      <c r="I65" s="229"/>
      <c r="J65" s="229"/>
    </row>
    <row r="66" spans="8:10" x14ac:dyDescent="0.25">
      <c r="H66" s="229" t="str">
        <f>IF([4]Setup!$B$19&gt;0,LEFT([4]DrawPrep!$H$6,FIND(" ",[4]DrawPrep!$H$6)-1),"")</f>
        <v>ΑΝΔΡΟΥΤΣΕΛΗΣ</v>
      </c>
      <c r="I66" s="229"/>
      <c r="J66" s="229"/>
    </row>
  </sheetData>
  <sheetProtection formatCells="0" formatColumns="0" formatRows="0"/>
  <mergeCells count="39">
    <mergeCell ref="H41:J41"/>
    <mergeCell ref="H42:J42"/>
    <mergeCell ref="H43:J43"/>
    <mergeCell ref="A33:A34"/>
    <mergeCell ref="F33:F34"/>
    <mergeCell ref="A35:A36"/>
    <mergeCell ref="F35:F36"/>
    <mergeCell ref="H40:J40"/>
    <mergeCell ref="P40:R40"/>
    <mergeCell ref="A27:A28"/>
    <mergeCell ref="F27:F28"/>
    <mergeCell ref="A29:A30"/>
    <mergeCell ref="F29:F30"/>
    <mergeCell ref="A31:A32"/>
    <mergeCell ref="F31:F32"/>
    <mergeCell ref="A21:A22"/>
    <mergeCell ref="F21:F22"/>
    <mergeCell ref="A23:A24"/>
    <mergeCell ref="F23:F24"/>
    <mergeCell ref="A25:A26"/>
    <mergeCell ref="F25:F26"/>
    <mergeCell ref="A15:A16"/>
    <mergeCell ref="F15:F16"/>
    <mergeCell ref="A17:A18"/>
    <mergeCell ref="F17:F18"/>
    <mergeCell ref="A19:A20"/>
    <mergeCell ref="F19:F20"/>
    <mergeCell ref="A9:A10"/>
    <mergeCell ref="F9:F10"/>
    <mergeCell ref="A11:A12"/>
    <mergeCell ref="F11:F12"/>
    <mergeCell ref="A13:A14"/>
    <mergeCell ref="F13:F14"/>
    <mergeCell ref="A1:N1"/>
    <mergeCell ref="H3:J3"/>
    <mergeCell ref="A5:A6"/>
    <mergeCell ref="F5:F6"/>
    <mergeCell ref="A7:A8"/>
    <mergeCell ref="F7:F8"/>
  </mergeCells>
  <conditionalFormatting sqref="L5:L6 L13:L14 L21:L22 L29:L30 L9:L10 L17:L18 L25:L26 L33:L34 N31:N32 N23:N24 N15:N16 N7:N8 P11:P12 P27:P28 P19:P20">
    <cfRule type="expression" dxfId="0" priority="1">
      <formula>MATCH(L5,$H$59:$H$72,0)</formula>
    </cfRule>
  </conditionalFormatting>
  <printOptions horizontalCentered="1"/>
  <pageMargins left="0.39370078740157483" right="0.39370078740157483" top="0.39370078740157483" bottom="0.39370078740157483" header="0.51181102362204722"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Line="0" autoPict="0" macro="[4]!Sheet2pdf">
                <anchor moveWithCells="1" sizeWithCells="1">
                  <from>
                    <xdr:col>18</xdr:col>
                    <xdr:colOff>0</xdr:colOff>
                    <xdr:row>7</xdr:row>
                    <xdr:rowOff>99060</xdr:rowOff>
                  </from>
                  <to>
                    <xdr:col>21</xdr:col>
                    <xdr:colOff>137160</xdr:colOff>
                    <xdr:row>10</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569E4-DC1C-4DB3-957F-459C5F2FE1F3}">
  <sheetPr codeName="Sheet4">
    <tabColor rgb="FFFFFF00"/>
    <pageSetUpPr fitToPage="1"/>
  </sheetPr>
  <dimension ref="A1:Q26"/>
  <sheetViews>
    <sheetView showGridLines="0" showZeros="0" zoomScale="110" workbookViewId="0">
      <pane ySplit="1" topLeftCell="A2" activePane="bottomLeft" state="frozen"/>
      <selection pane="bottomLeft" activeCell="K7" sqref="K7"/>
    </sheetView>
  </sheetViews>
  <sheetFormatPr defaultColWidth="5.109375" defaultRowHeight="10.199999999999999" x14ac:dyDescent="0.25"/>
  <cols>
    <col min="1" max="1" width="2.44140625" style="13" customWidth="1"/>
    <col min="2" max="2" width="1.5546875" style="13" hidden="1" customWidth="1"/>
    <col min="3" max="3" width="6" style="14" hidden="1" customWidth="1"/>
    <col min="4" max="4" width="5.33203125" style="15" hidden="1" customWidth="1"/>
    <col min="5" max="5" width="4.6640625" style="15" hidden="1" customWidth="1"/>
    <col min="6" max="6" width="3.5546875" style="14" bestFit="1" customWidth="1"/>
    <col min="7" max="7" width="5.88671875" style="16" customWidth="1"/>
    <col min="8" max="8" width="23.88671875" style="13" bestFit="1" customWidth="1"/>
    <col min="9" max="9" width="10.5546875" style="13" hidden="1" customWidth="1"/>
    <col min="10" max="10" width="21.6640625" style="13" bestFit="1" customWidth="1"/>
    <col min="11" max="11" width="1.44140625" style="91" bestFit="1" customWidth="1"/>
    <col min="12" max="12" width="13.5546875" style="13" bestFit="1" customWidth="1"/>
    <col min="13" max="13" width="1.44140625" style="39" bestFit="1" customWidth="1"/>
    <col min="14" max="14" width="13.5546875" style="13" bestFit="1" customWidth="1"/>
    <col min="15" max="15" width="1.44140625" style="39" bestFit="1" customWidth="1"/>
    <col min="16" max="16" width="13.5546875" style="21" bestFit="1" customWidth="1"/>
    <col min="17" max="17" width="5.109375" style="21" customWidth="1"/>
    <col min="18" max="16384" width="5.109375" style="13"/>
  </cols>
  <sheetData>
    <row r="1" spans="1:17" s="4" customFormat="1" ht="16.8" x14ac:dyDescent="0.25">
      <c r="A1" s="325" t="str">
        <f>[5]Setup!B3 &amp; ", " &amp; [5]Setup!B4 &amp; ", " &amp; [5]Setup!B6 &amp; ", " &amp; [5]Setup!B8 &amp; "-" &amp; [5]Setup!B9</f>
        <v>Η ΕΝΩΣΗ, ΟΡΕΝ MASTER, ΑΟΑ ΦΙΛΟΘΕΗΣ, 17-22 Οκτ</v>
      </c>
      <c r="B1" s="325"/>
      <c r="C1" s="325"/>
      <c r="D1" s="325"/>
      <c r="E1" s="325"/>
      <c r="F1" s="325"/>
      <c r="G1" s="325"/>
      <c r="H1" s="325"/>
      <c r="I1" s="325"/>
      <c r="J1" s="325"/>
      <c r="K1" s="325"/>
      <c r="L1" s="325"/>
      <c r="M1" s="325"/>
      <c r="N1" s="325"/>
      <c r="O1" s="1"/>
      <c r="P1" s="2" t="str">
        <f>[5]Setup!B7</f>
        <v>xd</v>
      </c>
      <c r="Q1" s="3"/>
    </row>
    <row r="2" spans="1:17" s="12" customFormat="1" ht="8.4" x14ac:dyDescent="0.25">
      <c r="A2" s="5"/>
      <c r="B2" s="6">
        <f>[5]Setup!$B$18</f>
        <v>1</v>
      </c>
      <c r="C2" s="6"/>
      <c r="D2" s="7"/>
      <c r="E2" s="7"/>
      <c r="F2" s="8"/>
      <c r="G2" s="8"/>
      <c r="H2" s="9"/>
      <c r="I2" s="9"/>
      <c r="J2" s="9"/>
      <c r="K2" s="6"/>
      <c r="L2" s="9"/>
      <c r="M2" s="7"/>
      <c r="N2" s="9"/>
      <c r="O2" s="7"/>
      <c r="P2" s="10"/>
      <c r="Q2" s="11"/>
    </row>
    <row r="3" spans="1:17" x14ac:dyDescent="0.25">
      <c r="H3" s="309">
        <v>8</v>
      </c>
      <c r="I3" s="309"/>
      <c r="J3" s="309"/>
      <c r="K3" s="17"/>
      <c r="L3" s="18">
        <v>4</v>
      </c>
      <c r="M3" s="19"/>
      <c r="N3" s="18">
        <v>2</v>
      </c>
      <c r="O3" s="19"/>
      <c r="P3" s="20" t="s">
        <v>0</v>
      </c>
    </row>
    <row r="4" spans="1:17" s="14" customFormat="1" x14ac:dyDescent="0.25">
      <c r="A4" s="22" t="s">
        <v>1</v>
      </c>
      <c r="B4" s="23"/>
      <c r="C4" s="24" t="s">
        <v>2</v>
      </c>
      <c r="D4" s="24" t="s">
        <v>3</v>
      </c>
      <c r="E4" s="24" t="s">
        <v>4</v>
      </c>
      <c r="F4" s="22" t="s">
        <v>5</v>
      </c>
      <c r="G4" s="22" t="s">
        <v>6</v>
      </c>
      <c r="H4" s="25" t="s">
        <v>7</v>
      </c>
      <c r="I4" s="24" t="s">
        <v>8</v>
      </c>
      <c r="J4" s="25" t="s">
        <v>9</v>
      </c>
      <c r="K4" s="6"/>
      <c r="M4" s="26"/>
      <c r="O4" s="26"/>
      <c r="P4" s="27"/>
      <c r="Q4" s="27"/>
    </row>
    <row r="5" spans="1:17" x14ac:dyDescent="0.25">
      <c r="A5" s="312">
        <v>1</v>
      </c>
      <c r="B5" s="28">
        <v>1</v>
      </c>
      <c r="C5" s="29"/>
      <c r="D5" s="30"/>
      <c r="E5" s="31">
        <v>0</v>
      </c>
      <c r="F5" s="326">
        <f>VLOOKUP($B5,[5]Setup!$G$12:$H$27,2,FALSE)</f>
        <v>1</v>
      </c>
      <c r="G5" s="32">
        <f>IF([5]Setup!$B$24="#",0,IF(F5&gt;0,VLOOKUP(F5,[5]DrawPrep!$A$3:$I$10,3,FALSE),0))</f>
        <v>26107</v>
      </c>
      <c r="H5" s="33" t="str">
        <f>IF(G5&gt;0,VLOOKUP(G5,[5]DrawPrep!$C$3:$I$10,2,FALSE),"bye")</f>
        <v>ΑΝΤΩΝΑΚΗ ΕΜΜΑΝΟΥΕΛΑ</v>
      </c>
      <c r="I5" s="34" t="str">
        <f>IF(G5&gt;0,LEFT(H5,FIND(" ",H5)-1),"")</f>
        <v>ΑΝΤΩΝΑΚΗ</v>
      </c>
      <c r="J5" s="35" t="str">
        <f>IF($G5&gt;0,VLOOKUP($G5,[5]DrawPrep!$C$3:$I$10,3,FALSE),"")</f>
        <v>ΑΟΑ ΑΤΤΙΚΟΣ ΗΛΙΟΣ</v>
      </c>
      <c r="K5" s="13"/>
      <c r="L5" s="36" t="str">
        <f>UPPER(IF($A$2="R",IF(OR(K6=1,K6="a"),G5,IF(OR(K6=2,K6="b"),G7,"")),IF(OR(K6=1,K6="1"),I5,IF(OR(K6=2,K6="b"),I7,""))))</f>
        <v/>
      </c>
      <c r="M5" s="37"/>
      <c r="N5" s="38"/>
      <c r="P5" s="38"/>
    </row>
    <row r="6" spans="1:17" x14ac:dyDescent="0.25">
      <c r="A6" s="313"/>
      <c r="B6" s="40"/>
      <c r="C6" s="41"/>
      <c r="D6" s="42"/>
      <c r="E6" s="43"/>
      <c r="F6" s="327"/>
      <c r="G6" s="44">
        <f>IF([5]Setup!$B$24="#",0,IF(F5&gt;0,VLOOKUP(F5,[5]DrawPrep!$A$3:$I$10,7,FALSE),0))</f>
        <v>35647</v>
      </c>
      <c r="H6" s="45" t="str">
        <f>IF(G6&gt;0,VLOOKUP(G6,[5]DrawPrep!$G$3:$I$10,2,FALSE)," ")</f>
        <v>ΑΓΓΟΥΡΗΣ ΚΩΝΣΤΑΝΤΙΝΟΣ</v>
      </c>
      <c r="I6" s="46" t="str">
        <f t="shared" ref="I6:I20" si="0">IF(G6&gt;0,LEFT(H6,FIND(" ",H6)-1),"")</f>
        <v>ΑΓΓΟΥΡΗΣ</v>
      </c>
      <c r="J6" s="47" t="str">
        <f>IF($G6&gt;0,VLOOKUP($G6,[5]DrawPrep!$G$3:$I$10,3,FALSE),"")</f>
        <v>ΑΟΑ ΑΤΤΙΚΟΣ ΗΛΙΟΣ</v>
      </c>
      <c r="K6" s="48"/>
      <c r="L6" s="49" t="str">
        <f>UPPER(IF($A$2="R",IF(OR(K6=1,K6="a"),G6,IF(OR(K6=2,K6="b"),G8,"")),IF(OR(K6=1,K6="1"),I6,IF(OR(K6=2,K6="b"),I8,""))))</f>
        <v/>
      </c>
      <c r="M6" s="37"/>
      <c r="N6" s="38"/>
      <c r="P6" s="38"/>
    </row>
    <row r="7" spans="1:17" x14ac:dyDescent="0.25">
      <c r="A7" s="312">
        <v>2</v>
      </c>
      <c r="B7" s="50">
        <f>1-D7+2</f>
        <v>2</v>
      </c>
      <c r="C7" s="51">
        <v>1</v>
      </c>
      <c r="D7" s="52">
        <f>E7</f>
        <v>1</v>
      </c>
      <c r="E7" s="53">
        <f>IF($B$2&gt;=1,1,0)</f>
        <v>1</v>
      </c>
      <c r="F7" s="328">
        <v>8</v>
      </c>
      <c r="G7" s="54">
        <v>10452</v>
      </c>
      <c r="H7" s="55" t="s">
        <v>29</v>
      </c>
      <c r="I7" s="56" t="str">
        <f t="shared" si="0"/>
        <v>ΓΕΡΑΣΙΜΟΥ</v>
      </c>
      <c r="J7" s="57" t="s">
        <v>30</v>
      </c>
      <c r="K7" s="6"/>
      <c r="L7" s="58"/>
      <c r="M7" s="13"/>
      <c r="N7" s="36" t="str">
        <f>UPPER(IF($A$2="R",IF(OR(M8=1,M8="a"),L5,IF(OR(M8=2,M7="b"),L9,"")),IF(OR(M8=1,M8="a"),L5,IF(OR(M8=2,M8="b"),L9,""))))</f>
        <v/>
      </c>
      <c r="O7" s="37"/>
      <c r="P7" s="38"/>
    </row>
    <row r="8" spans="1:17" x14ac:dyDescent="0.25">
      <c r="A8" s="313"/>
      <c r="B8" s="59"/>
      <c r="C8" s="60"/>
      <c r="D8" s="61"/>
      <c r="E8" s="62"/>
      <c r="F8" s="329"/>
      <c r="G8" s="63">
        <v>14657</v>
      </c>
      <c r="H8" s="36" t="s">
        <v>27</v>
      </c>
      <c r="I8" s="9" t="str">
        <f t="shared" si="0"/>
        <v>ΓΛΕΖΟΣ</v>
      </c>
      <c r="J8" s="64" t="s">
        <v>28</v>
      </c>
      <c r="K8" s="6"/>
      <c r="L8" s="65"/>
      <c r="M8" s="66"/>
      <c r="N8" s="49" t="str">
        <f>UPPER(IF($A$2="R",IF(OR(M8=1,M8="a"),L6,IF(OR(M8=2,M8="b"),L10,"")),IF(OR(M8=1,M8="a"),L6,IF(OR(M8=2,M8="b"),L10,""))))</f>
        <v/>
      </c>
      <c r="O8" s="37"/>
      <c r="P8" s="38"/>
    </row>
    <row r="9" spans="1:17" x14ac:dyDescent="0.25">
      <c r="A9" s="330">
        <v>3</v>
      </c>
      <c r="B9" s="101">
        <f>2-D9+2</f>
        <v>3</v>
      </c>
      <c r="C9" s="102"/>
      <c r="D9" s="102">
        <f>D7+E9</f>
        <v>1</v>
      </c>
      <c r="E9" s="102">
        <v>0</v>
      </c>
      <c r="F9" s="332">
        <f>VLOOKUP($B9,[5]Setup!$G$12:$H$27,2,FALSE)</f>
        <v>5</v>
      </c>
      <c r="G9" s="103">
        <f>IF([5]Setup!$B$24="#",0,IF(F9&gt;0,VLOOKUP(F9,[5]DrawPrep!$A$3:$I$10,3,FALSE),0))</f>
        <v>35538</v>
      </c>
      <c r="H9" s="104" t="str">
        <f>IF(G9&gt;0,VLOOKUP(G9,[5]DrawPrep!$C$3:$I$10,2,FALSE),"bye")</f>
        <v>ΒΑΣΙΛΕΙΑΔΗ ΜΑΡΙΑ</v>
      </c>
      <c r="I9" s="105" t="str">
        <f t="shared" si="0"/>
        <v>ΒΑΣΙΛΕΙΑΔΗ</v>
      </c>
      <c r="J9" s="106" t="str">
        <f>IF($G9&gt;0,VLOOKUP($G9,[5]DrawPrep!$C$3:$I$10,3,FALSE),"")</f>
        <v>ΑΟΑ ΦΙΛΟΘΕΗΣ</v>
      </c>
      <c r="K9" s="13"/>
      <c r="L9" s="36" t="str">
        <f>UPPER(IF($A$2="R",IF(OR(K10=1,K10="a"),G9,IF(OR(K10=2,K10="b"),G11,"")),IF(OR(K10=1,K10="1"),I9,IF(OR(K10=2,K10="b"),I11,""))))</f>
        <v/>
      </c>
      <c r="M9" s="71"/>
      <c r="N9" s="58"/>
      <c r="O9" s="37"/>
      <c r="P9" s="38"/>
    </row>
    <row r="10" spans="1:17" x14ac:dyDescent="0.25">
      <c r="A10" s="331"/>
      <c r="B10" s="107"/>
      <c r="C10" s="108"/>
      <c r="D10" s="108"/>
      <c r="E10" s="108"/>
      <c r="F10" s="333"/>
      <c r="G10" s="109">
        <f>IF([5]Setup!$B$24="#",0,IF(F9&gt;0,VLOOKUP(F9,[5]DrawPrep!$A$3:$I$10,7,FALSE),0))</f>
        <v>16350</v>
      </c>
      <c r="H10" s="110" t="str">
        <f>IF(G10&gt;0,VLOOKUP(G10,[5]DrawPrep!$G$3:$I$10,2,FALSE)," ")</f>
        <v>ΝΤΙΡΖΟΥ ΑΝΤΡΕΪ</v>
      </c>
      <c r="I10" s="111" t="str">
        <f t="shared" si="0"/>
        <v>ΝΤΙΡΖΟΥ</v>
      </c>
      <c r="J10" s="112" t="str">
        <f>IF($G10&gt;0,VLOOKUP($G10,[5]DrawPrep!$G$3:$I$10,3,FALSE),"")</f>
        <v>ΣΦΑ ΜΕΛΙΣΣΙΩΝ Ο ΦΟΙΒΟΣ</v>
      </c>
      <c r="K10" s="48"/>
      <c r="L10" s="49" t="str">
        <f>UPPER(IF($A$2="R",IF(OR(K10=1,K10="a"),G10,IF(OR(K10=2,K10="b"),G12,"")),IF(OR(K10=1,K10="1"),I10,IF(OR(K10=2,K10="b"),I12,""))))</f>
        <v/>
      </c>
      <c r="M10" s="71"/>
      <c r="N10" s="65"/>
      <c r="O10" s="37"/>
      <c r="P10" s="38"/>
    </row>
    <row r="11" spans="1:17" x14ac:dyDescent="0.25">
      <c r="A11" s="330">
        <v>4</v>
      </c>
      <c r="B11" s="101">
        <f>3-D11+2</f>
        <v>4</v>
      </c>
      <c r="C11" s="102">
        <v>3</v>
      </c>
      <c r="D11" s="102">
        <f>D9+E11</f>
        <v>1</v>
      </c>
      <c r="E11" s="102">
        <f>IF($B$2&gt;=3,1,0)</f>
        <v>0</v>
      </c>
      <c r="F11" s="332">
        <v>3</v>
      </c>
      <c r="G11" s="103">
        <f>IF([5]Setup!$B$24="#",0,IF(NOT(F11="-"),VLOOKUP(F11,[5]DrawPrep!$A$3:$I$10,3,FALSE),0))</f>
        <v>35900</v>
      </c>
      <c r="H11" s="104" t="str">
        <f>IF(G11&gt;0,VLOOKUP(G11,[5]DrawPrep!$C$3:$I$10,2,FALSE),"bye")</f>
        <v>ΜΑΚΑΝΤΑΣΗ ΜΑΡΘΑ</v>
      </c>
      <c r="I11" s="105" t="str">
        <f t="shared" si="0"/>
        <v>ΜΑΚΑΝΤΑΣΗ</v>
      </c>
      <c r="J11" s="106" t="str">
        <f>IF($G11&gt;0,VLOOKUP($G11,[5]DrawPrep!$C$3:$I$10,3,FALSE),"")</f>
        <v>ΠΕΥΚΗ Γ ΚΑΛΟΒΕΛΩΝΗΣ</v>
      </c>
      <c r="K11" s="6"/>
      <c r="L11" s="38"/>
      <c r="M11" s="37"/>
      <c r="N11" s="65"/>
      <c r="O11" s="13"/>
      <c r="P11" s="73" t="str">
        <f>UPPER(IF($A$2="R",IF(OR(O12=1,O12="a"),N7,IF(OR(O12=2,O12="b"),N15,"")),IF(OR(O12=1,O12="a"),N7,IF(OR(O12=2,O12="b"),N15,""))))</f>
        <v/>
      </c>
    </row>
    <row r="12" spans="1:17" x14ac:dyDescent="0.25">
      <c r="A12" s="331"/>
      <c r="B12" s="107"/>
      <c r="C12" s="108"/>
      <c r="D12" s="108"/>
      <c r="E12" s="108"/>
      <c r="F12" s="333"/>
      <c r="G12" s="113">
        <f>IF([5]Setup!$B$24="#",0,IF(NOT(F11="-"),VLOOKUP(F11,[5]DrawPrep!$A$3:$I$10,7,FALSE),0))</f>
        <v>16369</v>
      </c>
      <c r="H12" s="114" t="str">
        <f>IF(G12&gt;0,VLOOKUP(G12,[5]DrawPrep!$G$3:$I$10,2,FALSE)," ")</f>
        <v>ΜΠΙΣΜΠΙΚΟΣ ΠΙΕΡ</v>
      </c>
      <c r="I12" s="115" t="str">
        <f t="shared" si="0"/>
        <v>ΜΠΙΣΜΠΙΚΟΣ</v>
      </c>
      <c r="J12" s="116" t="str">
        <f>IF($G12&gt;0,VLOOKUP($G12,[5]DrawPrep!$G$3:$I$10,3,FALSE),"")</f>
        <v>ΟΑ ΑΓ ΠΑΡΑΣΚΕΥΗΣ</v>
      </c>
      <c r="K12" s="6"/>
      <c r="L12" s="15"/>
      <c r="M12" s="37"/>
      <c r="N12" s="65"/>
      <c r="O12" s="48"/>
      <c r="P12" s="77" t="str">
        <f>UPPER(IF($A$2="R",IF(OR(O12=1,O12="a"),N8,IF(OR(O12=2,O12="b"),N16,"")),IF(OR(O12=1,O12="a"),N8,IF(OR(O12=2,O12="b"),N16,""))))</f>
        <v/>
      </c>
    </row>
    <row r="13" spans="1:17" x14ac:dyDescent="0.25">
      <c r="A13" s="312">
        <v>5</v>
      </c>
      <c r="B13" s="50">
        <f>4-D13+2</f>
        <v>5</v>
      </c>
      <c r="C13" s="78"/>
      <c r="D13" s="52">
        <f>D11+E13</f>
        <v>1</v>
      </c>
      <c r="E13" s="67">
        <v>0</v>
      </c>
      <c r="F13" s="328">
        <v>7</v>
      </c>
      <c r="G13" s="54">
        <f>IF([5]Setup!$B$24="#",0,IF(F13&gt;0,VLOOKUP(F13,[5]DrawPrep!$A$3:$I$10,3,FALSE),0))</f>
        <v>5351</v>
      </c>
      <c r="H13" s="55" t="str">
        <f>IF(G13&gt;0,VLOOKUP(G13,[5]DrawPrep!$C$3:$I$10,2,FALSE),"bye")</f>
        <v>ΠΑΝΑΓΙΩΤΙΔΟΥ ΠΑΡΑΣΚΕΥΗ</v>
      </c>
      <c r="I13" s="56" t="str">
        <f t="shared" si="0"/>
        <v>ΠΑΝΑΓΙΩΤΙΔΟΥ</v>
      </c>
      <c r="J13" s="57" t="str">
        <f>IF($G13&gt;0,VLOOKUP($G13,[5]DrawPrep!$C$3:$I$10,3,FALSE),"")</f>
        <v>ΑΜΕΣ Ν ΕΡΥΘΡΑΙΑΣ</v>
      </c>
      <c r="K13" s="13"/>
      <c r="L13" s="36" t="str">
        <f>UPPER(IF($A$2="R",IF(OR(K14=1,K14="a"),G13,IF(OR(K14=2,K14="b"),G15,"")),IF(OR(K14=1,K14="1"),I13,IF(OR(K14=2,K14="b"),I15,""))))</f>
        <v/>
      </c>
      <c r="M13" s="37"/>
      <c r="N13" s="65"/>
      <c r="O13" s="6"/>
      <c r="P13" s="79"/>
    </row>
    <row r="14" spans="1:17" x14ac:dyDescent="0.25">
      <c r="A14" s="313"/>
      <c r="B14" s="59"/>
      <c r="C14" s="80"/>
      <c r="D14" s="61"/>
      <c r="E14" s="72"/>
      <c r="F14" s="329"/>
      <c r="G14" s="63">
        <f>IF([5]Setup!$B$24="#",0,IF(F13&gt;0,VLOOKUP(F13,[5]DrawPrep!$A$3:$I$10,7,FALSE),0))</f>
        <v>7243</v>
      </c>
      <c r="H14" s="36" t="str">
        <f>IF(G14&gt;0,VLOOKUP(G14,[5]DrawPrep!$G$3:$I$10,2,FALSE)," ")</f>
        <v>ΠΑΠΑΧΡΙΣΤΟΠΟΥΛΟΣ ΦΙΛΙΠΠΑΣ</v>
      </c>
      <c r="I14" s="9" t="str">
        <f t="shared" si="0"/>
        <v>ΠΑΠΑΧΡΙΣΤΟΠΟΥΛΟΣ</v>
      </c>
      <c r="J14" s="64" t="str">
        <f>IF($G14&gt;0,VLOOKUP($G14,[5]DrawPrep!$G$3:$I$10,3,FALSE),"")</f>
        <v>ΑΟΑ ΦΙΛΟΘΕΗΣ</v>
      </c>
      <c r="K14" s="5"/>
      <c r="L14" s="49" t="str">
        <f>UPPER(IF($A$2="R",IF(OR(K14=1,K14="a"),G14,IF(OR(K14=2,K14="b"),G16,"")),IF(OR(K14=1,K14="1"),I14,IF(OR(K14=2,K14="b"),I16,""))))</f>
        <v/>
      </c>
      <c r="M14" s="37"/>
      <c r="N14" s="65"/>
      <c r="O14" s="37"/>
      <c r="P14" s="38"/>
    </row>
    <row r="15" spans="1:17" x14ac:dyDescent="0.25">
      <c r="A15" s="312">
        <v>6</v>
      </c>
      <c r="B15" s="50">
        <f>5-D15+2</f>
        <v>6</v>
      </c>
      <c r="C15" s="53">
        <v>4</v>
      </c>
      <c r="D15" s="52">
        <f>D13+E15</f>
        <v>1</v>
      </c>
      <c r="E15" s="53">
        <f>IF($B$2&gt;=4,1,0)</f>
        <v>0</v>
      </c>
      <c r="F15" s="328">
        <f>IF($B$2&gt;=4,"-",VLOOKUP($B15,[5]Setup!$G$12:$H$27,2,FALSE))</f>
        <v>4</v>
      </c>
      <c r="G15" s="54">
        <f>IF([5]Setup!$B$24="#",0,IF(NOT(F15="-"),VLOOKUP(F15,[5]DrawPrep!$A$3:$I$10,3,FALSE),0))</f>
        <v>33920</v>
      </c>
      <c r="H15" s="55" t="str">
        <f>IF(G15&gt;0,VLOOKUP(G15,[5]DrawPrep!$C$3:$I$10,2,FALSE),"bye")</f>
        <v>ΠΛΑΤΣΙΩΤΑ ΡΑΦΑΕΛΑ</v>
      </c>
      <c r="I15" s="56" t="str">
        <f t="shared" si="0"/>
        <v>ΠΛΑΤΣΙΩΤΑ</v>
      </c>
      <c r="J15" s="57" t="str">
        <f>IF($G15&gt;0,VLOOKUP($G15,[5]DrawPrep!$C$3:$I$10,3,FALSE),"")</f>
        <v>ΑΟΑ ΑΤΤΙΚΟΣ ΗΛΙΟΣ</v>
      </c>
      <c r="K15" s="81"/>
      <c r="L15" s="58"/>
      <c r="M15" s="13"/>
      <c r="N15" s="64" t="str">
        <f>UPPER(IF($A$2="R",IF(OR(M16=1,M16="a"),L13,IF(OR(M16=2,M15="b"),L17,"")),IF(OR(M16=1,M16="a"),L13,IF(OR(M16=2,M16="b"),L17,""))))</f>
        <v/>
      </c>
      <c r="O15" s="37"/>
      <c r="P15" s="38"/>
    </row>
    <row r="16" spans="1:17" x14ac:dyDescent="0.25">
      <c r="A16" s="313"/>
      <c r="B16" s="59"/>
      <c r="C16" s="62"/>
      <c r="D16" s="61"/>
      <c r="E16" s="62"/>
      <c r="F16" s="329"/>
      <c r="G16" s="63">
        <f>IF([5]Setup!$B$24="#",0,IF(NOT(F15="-"),VLOOKUP(F15,[5]DrawPrep!$A$3:$I$10,7,FALSE),0))</f>
        <v>37315</v>
      </c>
      <c r="H16" s="36" t="str">
        <f>IF(G16&gt;0,VLOOKUP(G16,[5]DrawPrep!$G$3:$I$10,2,FALSE)," ")</f>
        <v>ΜΑΝΩΛΑΣ ΝΙΚΟΛΑΟΣ</v>
      </c>
      <c r="I16" s="9" t="str">
        <f t="shared" si="0"/>
        <v>ΜΑΝΩΛΑΣ</v>
      </c>
      <c r="J16" s="64" t="str">
        <f>IF($G16&gt;0,VLOOKUP($G16,[5]DrawPrep!$G$3:$I$10,3,FALSE),"")</f>
        <v>ΑΟ ΠΕΥΚΗΣ TIE BREAK</v>
      </c>
      <c r="K16" s="6"/>
      <c r="L16" s="65"/>
      <c r="M16" s="48"/>
      <c r="N16" s="82" t="str">
        <f>UPPER(IF($A$2="R",IF(OR(M16=1,M16="a"),L14,IF(OR(M16=2,M16="b"),L18,"")),IF(OR(M16=1,M16="a"),L14,IF(OR(M16=2,M16="b"),L18,""))))</f>
        <v/>
      </c>
      <c r="O16" s="37"/>
      <c r="P16" s="38"/>
    </row>
    <row r="17" spans="1:17" x14ac:dyDescent="0.25">
      <c r="A17" s="330">
        <v>7</v>
      </c>
      <c r="B17" s="101">
        <f>6-D17+2</f>
        <v>7</v>
      </c>
      <c r="C17" s="102">
        <v>2</v>
      </c>
      <c r="D17" s="102">
        <f>D15+E17</f>
        <v>1</v>
      </c>
      <c r="E17" s="102">
        <f>IF($B$2&gt;=2,1,0)</f>
        <v>0</v>
      </c>
      <c r="F17" s="332">
        <f>IF($B$2&gt;=2,"-",VLOOKUP($B17,[5]Setup!$G$12:$H$27,2,FALSE))</f>
        <v>6</v>
      </c>
      <c r="G17" s="103">
        <f>IF([5]Setup!$B$24="#",0,IF(NOT(F17="-"),VLOOKUP(F17,[5]DrawPrep!$A$3:$I$10,3,FALSE),0))</f>
        <v>6255</v>
      </c>
      <c r="H17" s="104" t="str">
        <f>IF(G17&gt;0,VLOOKUP(G17,[5]DrawPrep!$C$3:$I$10,2,FALSE),"bye")</f>
        <v>ΜΑΡΓΑΡΙΤΗ ΣΥΛΒΙΑ</v>
      </c>
      <c r="I17" s="105" t="str">
        <f t="shared" si="0"/>
        <v>ΜΑΡΓΑΡΙΤΗ</v>
      </c>
      <c r="J17" s="106" t="str">
        <f>IF($G17&gt;0,VLOOKUP($G17,[5]DrawPrep!$C$3:$I$10,3,FALSE),"")</f>
        <v>ΟΑ ΓΟΥΔΗ</v>
      </c>
      <c r="K17" s="13"/>
      <c r="L17" s="36" t="str">
        <f>UPPER(IF($A$2="R",IF(OR(K18=1,K18="a"),G17,IF(OR(K18=2,K18="b"),G19,"")),IF(OR(K18=1,K18="1"),I17,IF(OR(K18=2,K18="b"),I19,""))))</f>
        <v/>
      </c>
      <c r="M17" s="71"/>
      <c r="N17" s="38"/>
      <c r="O17" s="37"/>
      <c r="P17" s="38"/>
    </row>
    <row r="18" spans="1:17" x14ac:dyDescent="0.25">
      <c r="A18" s="331"/>
      <c r="B18" s="107"/>
      <c r="C18" s="108"/>
      <c r="D18" s="108"/>
      <c r="E18" s="108"/>
      <c r="F18" s="333"/>
      <c r="G18" s="109">
        <f>IF([5]Setup!$B$24="#",0,IF(NOT(F17="-"),VLOOKUP(F17,[5]DrawPrep!$A$3:$I$10,7,FALSE),0))</f>
        <v>15180</v>
      </c>
      <c r="H18" s="110" t="str">
        <f>IF(G18&gt;0,VLOOKUP(G18,[5]DrawPrep!$G$3:$I$10,2,FALSE)," ")</f>
        <v>ΚΑΡΑΓΙΑΝΝΙΔΗΣ ΘΕΟΧΑΡΗΣ</v>
      </c>
      <c r="I18" s="111" t="str">
        <f t="shared" si="0"/>
        <v>ΚΑΡΑΓΙΑΝΝΙΔΗΣ</v>
      </c>
      <c r="J18" s="112" t="str">
        <f>IF($G18&gt;0,VLOOKUP($G18,[5]DrawPrep!$G$3:$I$10,3,FALSE),"")</f>
        <v>ΑΟΑ ΑΤΤΙΚΟΣ ΗΛΙΟΣ</v>
      </c>
      <c r="K18" s="48"/>
      <c r="L18" s="82" t="str">
        <f>UPPER(IF($A$2="R",IF(OR(K18=1,K18="a"),G18,IF(OR(K18=2,K18="b"),G20,"")),IF(OR(K18=1,K18="1"),I18,IF(OR(K18=2,K18="b"),I20,""))))</f>
        <v/>
      </c>
      <c r="M18" s="6"/>
      <c r="N18" s="38"/>
      <c r="O18" s="37"/>
      <c r="P18" s="38"/>
    </row>
    <row r="19" spans="1:17" x14ac:dyDescent="0.25">
      <c r="A19" s="330">
        <v>8</v>
      </c>
      <c r="B19" s="101">
        <v>2</v>
      </c>
      <c r="C19" s="102"/>
      <c r="D19" s="102">
        <f>D17+E19</f>
        <v>1</v>
      </c>
      <c r="E19" s="117">
        <v>0</v>
      </c>
      <c r="F19" s="334">
        <f>VLOOKUP($B19,[5]Setup!$G$12:$H$27,2,FALSE)</f>
        <v>2</v>
      </c>
      <c r="G19" s="118">
        <f>IF([5]Setup!$B$24="#",0,IF(F19&gt;0,VLOOKUP(F19,[5]DrawPrep!$A$3:$I$10,3,FALSE),0))</f>
        <v>21937</v>
      </c>
      <c r="H19" s="119" t="str">
        <f>IF(G19&gt;0,VLOOKUP(G19,[5]DrawPrep!$C$3:$I$10,2,FALSE),"bye")</f>
        <v>ΚΑΪΡΗ ΑΓΓΕΛΙΚΗ</v>
      </c>
      <c r="I19" s="105" t="str">
        <f t="shared" si="0"/>
        <v>ΚΑΪΡΗ</v>
      </c>
      <c r="J19" s="120" t="str">
        <f>IF($G19&gt;0,VLOOKUP($G19,[5]DrawPrep!$C$3:$I$10,3,FALSE),"")</f>
        <v>ΟΑ ΑΘΗΝΩΝ</v>
      </c>
      <c r="K19" s="6"/>
      <c r="L19" s="38"/>
      <c r="N19" s="38"/>
      <c r="P19" s="38"/>
    </row>
    <row r="20" spans="1:17" x14ac:dyDescent="0.25">
      <c r="A20" s="331"/>
      <c r="B20" s="107"/>
      <c r="C20" s="108"/>
      <c r="D20" s="108"/>
      <c r="E20" s="121"/>
      <c r="F20" s="335"/>
      <c r="G20" s="122">
        <f>IF([5]Setup!$B$24="#",0,IF(F19&gt;0,VLOOKUP(F19,[5]DrawPrep!$A$3:$I$10,7,FALSE),0))</f>
        <v>15313</v>
      </c>
      <c r="H20" s="123" t="str">
        <f>IF(G20&gt;0,VLOOKUP(G20,[5]DrawPrep!$G$3:$I$10,2,FALSE)," ")</f>
        <v>ΓΕΩΡΓΙΑΔΗΣ ΜΑΡΙΟΣ</v>
      </c>
      <c r="I20" s="115" t="str">
        <f t="shared" si="0"/>
        <v>ΓΕΩΡΓΙΑΔΗΣ</v>
      </c>
      <c r="J20" s="124" t="str">
        <f>IF($G20&gt;0,VLOOKUP($G20,[5]DrawPrep!$G$3:$I$10,3,FALSE),"")</f>
        <v>ΟΑ ΑΘΗΝΩΝ</v>
      </c>
      <c r="K20" s="6"/>
      <c r="L20" s="38"/>
      <c r="N20" s="38"/>
      <c r="P20" s="38"/>
    </row>
    <row r="21" spans="1:17" x14ac:dyDescent="0.25">
      <c r="F21" s="90"/>
      <c r="L21" s="92" t="s">
        <v>10</v>
      </c>
      <c r="N21" s="92" t="s">
        <v>10</v>
      </c>
      <c r="P21" s="92" t="s">
        <v>10</v>
      </c>
    </row>
    <row r="22" spans="1:17" x14ac:dyDescent="0.25">
      <c r="F22" s="27"/>
    </row>
    <row r="24" spans="1:17" s="93" customFormat="1" ht="9.6" x14ac:dyDescent="0.25">
      <c r="C24" s="94"/>
      <c r="D24" s="95"/>
      <c r="E24" s="95"/>
      <c r="F24" s="94"/>
      <c r="G24" s="94"/>
      <c r="H24" s="96" t="s">
        <v>11</v>
      </c>
      <c r="K24" s="97"/>
      <c r="M24" s="98"/>
      <c r="N24" s="99" t="s">
        <v>12</v>
      </c>
      <c r="O24" s="96"/>
      <c r="P24" s="96"/>
    </row>
    <row r="25" spans="1:17" s="93" customFormat="1" ht="9.6" x14ac:dyDescent="0.25">
      <c r="C25" s="94"/>
      <c r="D25" s="95"/>
      <c r="E25" s="95"/>
      <c r="F25" s="94"/>
      <c r="G25" s="94"/>
      <c r="H25" s="324" t="str">
        <f>"1. " &amp; IF([5]Setup!B19&gt;0,LEFT([5]DrawPrep!D3,FIND(" ",[5]DrawPrep!D3)+1)&amp;" - "&amp;LEFT([5]DrawPrep!H3,FIND(" ",[5]DrawPrep!H3)+1),"")</f>
        <v>1. ΑΝΤΩΝΑΚΗ Ε - ΑΓΓΟΥΡΗΣ Κ</v>
      </c>
      <c r="I25" s="324"/>
      <c r="J25" s="324"/>
      <c r="K25" s="97"/>
      <c r="M25" s="98"/>
      <c r="N25" s="310" t="str">
        <f>[5]Setup!B10</f>
        <v>Τ.Ταμπόση</v>
      </c>
      <c r="O25" s="310"/>
      <c r="P25" s="310"/>
      <c r="Q25" s="100"/>
    </row>
    <row r="26" spans="1:17" s="93" customFormat="1" ht="9.6" x14ac:dyDescent="0.25">
      <c r="C26" s="94"/>
      <c r="D26" s="95"/>
      <c r="E26" s="95"/>
      <c r="F26" s="94"/>
      <c r="G26" s="94"/>
      <c r="H26" s="324" t="str">
        <f>"2. " &amp; IF([5]Setup!B19&gt;1,LEFT([5]DrawPrep!D4,FIND(" ",[5]DrawPrep!D4)+1)&amp;" - "&amp;LEFT([5]DrawPrep!H4,FIND(" ",[5]DrawPrep!H4)+1),"")</f>
        <v>2. ΚΑΪΡΗ Α - ΓΕΩΡΓΙΑΔΗΣ Μ</v>
      </c>
      <c r="I26" s="324"/>
      <c r="J26" s="324"/>
      <c r="K26" s="97"/>
      <c r="M26" s="98"/>
      <c r="O26" s="98"/>
      <c r="P26" s="100"/>
      <c r="Q26" s="100"/>
    </row>
  </sheetData>
  <sheetProtection formatCells="0" formatColumns="0" formatRows="0"/>
  <mergeCells count="21">
    <mergeCell ref="H25:J25"/>
    <mergeCell ref="N25:P25"/>
    <mergeCell ref="H26:J26"/>
    <mergeCell ref="A15:A16"/>
    <mergeCell ref="F15:F16"/>
    <mergeCell ref="A17:A18"/>
    <mergeCell ref="F17:F18"/>
    <mergeCell ref="A19:A20"/>
    <mergeCell ref="F19:F20"/>
    <mergeCell ref="A9:A10"/>
    <mergeCell ref="F9:F10"/>
    <mergeCell ref="A11:A12"/>
    <mergeCell ref="F11:F12"/>
    <mergeCell ref="A13:A14"/>
    <mergeCell ref="F13:F14"/>
    <mergeCell ref="A1:N1"/>
    <mergeCell ref="H3:J3"/>
    <mergeCell ref="A5:A6"/>
    <mergeCell ref="F5:F6"/>
    <mergeCell ref="A7:A8"/>
    <mergeCell ref="F7:F8"/>
  </mergeCells>
  <printOptions horizontalCentered="1"/>
  <pageMargins left="0.39370078740157483" right="0.39370078740157483" top="0.39370078740157483" bottom="0.39370078740157483" header="0.51181102362204722"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Line="0" autoPict="0" macro="[5]!Sheet2pdf">
                <anchor moveWithCells="1" sizeWithCells="1">
                  <from>
                    <xdr:col>19</xdr:col>
                    <xdr:colOff>45720</xdr:colOff>
                    <xdr:row>5</xdr:row>
                    <xdr:rowOff>99060</xdr:rowOff>
                  </from>
                  <to>
                    <xdr:col>22</xdr:col>
                    <xdr:colOff>175260</xdr:colOff>
                    <xdr:row>8</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5</vt:i4>
      </vt:variant>
      <vt:variant>
        <vt:lpstr>Καθορισμένες περιοχές</vt:lpstr>
      </vt:variant>
      <vt:variant>
        <vt:i4>4</vt:i4>
      </vt:variant>
    </vt:vector>
  </HeadingPairs>
  <TitlesOfParts>
    <vt:vector size="9" baseType="lpstr">
      <vt:lpstr>qm</vt:lpstr>
      <vt:lpstr>mmd</vt:lpstr>
      <vt:lpstr>ws</vt:lpstr>
      <vt:lpstr>md </vt:lpstr>
      <vt:lpstr>xd</vt:lpstr>
      <vt:lpstr>'md '!Print_Area</vt:lpstr>
      <vt:lpstr>mmd!Print_Area</vt:lpstr>
      <vt:lpstr>qm!Print_Area</vt:lpstr>
      <vt:lpstr>ws!Print_Area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tereza tabossi</dc:creator>
  <cp:lastModifiedBy>tereza tabossi</cp:lastModifiedBy>
  <cp:lastPrinted>2017-10-13T16:12:39Z</cp:lastPrinted>
  <dcterms:created xsi:type="dcterms:W3CDTF">2017-10-13T15:19:41Z</dcterms:created>
  <dcterms:modified xsi:type="dcterms:W3CDTF">2017-10-13T21:56:19Z</dcterms:modified>
</cp:coreProperties>
</file>